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SECRETARIAT\FACULTATE\Planuri de invatamant pe generatii\TMTN\"/>
    </mc:Choice>
  </mc:AlternateContent>
  <workbookProtection workbookAlgorithmName="SHA-512" workbookHashValue="OA5VxGQBoSxmfy0ViQWDLr7QM8aW4i6LvMe1C3wCCzOQKJDWtPZtWGV+m/TxYZFLw6flauHMEouGFP8H98H6sA==" workbookSaltValue="PWlSedmdeFlsjTnkKiNdow==" workbookSpinCount="100000" lockStructure="1"/>
  <bookViews>
    <workbookView xWindow="0" yWindow="0" windowWidth="28800" windowHeight="11835" activeTab="2"/>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E96" i="14" l="1"/>
  <c r="D46" i="17" s="1"/>
  <c r="BU441" i="14"/>
  <c r="CD441" i="14" s="1"/>
  <c r="BV440" i="14"/>
  <c r="CA440" i="14" s="1"/>
  <c r="BV446" i="14"/>
  <c r="CE446" i="14" s="1"/>
  <c r="BU446" i="14"/>
  <c r="CD446" i="14" s="1"/>
  <c r="BT446" i="14"/>
  <c r="CC446" i="14" s="1"/>
  <c r="BS446" i="14"/>
  <c r="BX446" i="14" s="1"/>
  <c r="BV445" i="14"/>
  <c r="CE445" i="14" s="1"/>
  <c r="BU445" i="14"/>
  <c r="CD445" i="14" s="1"/>
  <c r="BT445" i="14"/>
  <c r="CC445" i="14" s="1"/>
  <c r="BS445" i="14"/>
  <c r="CB445" i="14" s="1"/>
  <c r="BV444" i="14"/>
  <c r="CE444" i="14" s="1"/>
  <c r="BU444" i="14"/>
  <c r="CD444" i="14" s="1"/>
  <c r="BT444" i="14"/>
  <c r="CC444" i="14" s="1"/>
  <c r="BS444" i="14"/>
  <c r="CB444" i="14" s="1"/>
  <c r="BV443" i="14"/>
  <c r="CE443" i="14" s="1"/>
  <c r="BU443" i="14"/>
  <c r="CD443" i="14" s="1"/>
  <c r="BT443" i="14"/>
  <c r="CC443" i="14" s="1"/>
  <c r="BS443" i="14"/>
  <c r="CB443" i="14" s="1"/>
  <c r="BV442" i="14"/>
  <c r="CE442" i="14" s="1"/>
  <c r="BU442" i="14"/>
  <c r="CD442" i="14" s="1"/>
  <c r="BT442" i="14"/>
  <c r="CC442" i="14" s="1"/>
  <c r="BS442" i="14"/>
  <c r="CB442" i="14" s="1"/>
  <c r="BV441" i="14"/>
  <c r="CA441" i="14" s="1"/>
  <c r="BT441" i="14"/>
  <c r="CC441" i="14" s="1"/>
  <c r="BS441" i="14"/>
  <c r="CB441" i="14" s="1"/>
  <c r="BU440" i="14"/>
  <c r="CD440" i="14" s="1"/>
  <c r="BT440" i="14"/>
  <c r="BY440" i="14" s="1"/>
  <c r="BS440" i="14"/>
  <c r="CB440" i="14" s="1"/>
  <c r="BV439" i="14"/>
  <c r="CE439" i="14" s="1"/>
  <c r="BU439" i="14"/>
  <c r="BZ439" i="14" s="1"/>
  <c r="BT439" i="14"/>
  <c r="CC439" i="14" s="1"/>
  <c r="BS439" i="14"/>
  <c r="BX439" i="14" s="1"/>
  <c r="BY442" i="14"/>
  <c r="Q96" i="14"/>
  <c r="E46" i="17" s="1"/>
  <c r="AX441" i="14"/>
  <c r="BC441" i="14" s="1"/>
  <c r="AY440" i="14"/>
  <c r="BD440" i="14" s="1"/>
  <c r="BK440" i="14"/>
  <c r="BP440" i="14" s="1"/>
  <c r="BJ441" i="14"/>
  <c r="BO441" i="14" s="1"/>
  <c r="CK445" i="14"/>
  <c r="CT445" i="14" s="1"/>
  <c r="CK439" i="14"/>
  <c r="CT439" i="14" s="1"/>
  <c r="CK440" i="14"/>
  <c r="CT440" i="14" s="1"/>
  <c r="CI444" i="14"/>
  <c r="CR444" i="14" s="1"/>
  <c r="CH443" i="14"/>
  <c r="CQ443" i="14" s="1"/>
  <c r="CJ441" i="14"/>
  <c r="CS441" i="14"/>
  <c r="Q55" i="14"/>
  <c r="D19" i="17" s="1"/>
  <c r="E55" i="14"/>
  <c r="C19" i="17" s="1"/>
  <c r="B4" i="18"/>
  <c r="N4" i="18"/>
  <c r="Q4" i="18"/>
  <c r="H6" i="14"/>
  <c r="AA4" i="18" s="1"/>
  <c r="AB4" i="18"/>
  <c r="H7" i="14"/>
  <c r="AC4" i="18" s="1"/>
  <c r="AD4" i="18"/>
  <c r="AE4" i="18"/>
  <c r="AF4" i="18"/>
  <c r="B5" i="18"/>
  <c r="N5" i="18"/>
  <c r="Q5" i="18"/>
  <c r="AB5" i="18"/>
  <c r="AD5" i="18"/>
  <c r="AE5" i="18"/>
  <c r="AF5" i="18"/>
  <c r="B6" i="18"/>
  <c r="N6" i="18"/>
  <c r="Q6" i="18"/>
  <c r="AB6" i="18"/>
  <c r="AC6" i="18"/>
  <c r="AD6" i="18"/>
  <c r="AE6" i="18"/>
  <c r="AF6" i="18"/>
  <c r="B37" i="14"/>
  <c r="AT483" i="14" s="1"/>
  <c r="A7" i="18" s="1"/>
  <c r="B7" i="18"/>
  <c r="AV483" i="14"/>
  <c r="C7" i="18" s="1"/>
  <c r="BA483" i="14"/>
  <c r="H7" i="18" s="1"/>
  <c r="BB483" i="14"/>
  <c r="I7" i="18" s="1"/>
  <c r="BC483" i="14"/>
  <c r="J7" i="18" s="1"/>
  <c r="BD483" i="14"/>
  <c r="K7" i="18" s="1"/>
  <c r="BE483" i="14"/>
  <c r="L7" i="18" s="1"/>
  <c r="BF483" i="14"/>
  <c r="M7" i="18" s="1"/>
  <c r="N7" i="18"/>
  <c r="Q7" i="18"/>
  <c r="BL483" i="14"/>
  <c r="S7" i="18" s="1"/>
  <c r="BN483" i="14"/>
  <c r="U7" i="18" s="1"/>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D13" i="18"/>
  <c r="AE13" i="18"/>
  <c r="AF13" i="18"/>
  <c r="B14" i="18"/>
  <c r="N14" i="18"/>
  <c r="Q14" i="18"/>
  <c r="AB14" i="18"/>
  <c r="AD14" i="18"/>
  <c r="AE14" i="18"/>
  <c r="AF14" i="18"/>
  <c r="B15" i="18"/>
  <c r="N15" i="18"/>
  <c r="Q15" i="18"/>
  <c r="AB15" i="18"/>
  <c r="AC15" i="18"/>
  <c r="AD15" i="18"/>
  <c r="AE15" i="18"/>
  <c r="AF15" i="18"/>
  <c r="B16" i="18"/>
  <c r="N16" i="18"/>
  <c r="Q16" i="18"/>
  <c r="AB16" i="18"/>
  <c r="AD16" i="18"/>
  <c r="AE16" i="18"/>
  <c r="AF16" i="18"/>
  <c r="B17" i="18"/>
  <c r="N17" i="18"/>
  <c r="Q17" i="18"/>
  <c r="BL493" i="14"/>
  <c r="S17" i="18" s="1"/>
  <c r="BN493" i="14"/>
  <c r="U17" i="18" s="1"/>
  <c r="AB17" i="18"/>
  <c r="AD17" i="18"/>
  <c r="AE17" i="18"/>
  <c r="AF17" i="18"/>
  <c r="N40" i="14"/>
  <c r="AT494" i="14" s="1"/>
  <c r="A18" i="18" s="1"/>
  <c r="B18" i="18"/>
  <c r="AV494" i="14"/>
  <c r="C18" i="18" s="1"/>
  <c r="BA494" i="14"/>
  <c r="H18" i="18" s="1"/>
  <c r="BB494" i="14"/>
  <c r="I18" i="18" s="1"/>
  <c r="BC494" i="14"/>
  <c r="J18" i="18" s="1"/>
  <c r="BD494" i="14"/>
  <c r="K18" i="18" s="1"/>
  <c r="BE494" i="14"/>
  <c r="L18" i="18" s="1"/>
  <c r="BF494" i="14"/>
  <c r="M18" i="18" s="1"/>
  <c r="N18" i="18"/>
  <c r="Q18" i="18"/>
  <c r="BL494" i="14"/>
  <c r="S18" i="18" s="1"/>
  <c r="AA18" i="18"/>
  <c r="AB18" i="18"/>
  <c r="AC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A22" i="18"/>
  <c r="AB22" i="18"/>
  <c r="AD22" i="18"/>
  <c r="AE22" i="18"/>
  <c r="AF22" i="18"/>
  <c r="B23" i="18"/>
  <c r="N23" i="18"/>
  <c r="Q23" i="18"/>
  <c r="AA23" i="18"/>
  <c r="AB23" i="18"/>
  <c r="AD23" i="18"/>
  <c r="AE23" i="18"/>
  <c r="AF23" i="18"/>
  <c r="B24" i="18"/>
  <c r="N24" i="18"/>
  <c r="Q24" i="18"/>
  <c r="AA24" i="18"/>
  <c r="AB24" i="18"/>
  <c r="AD24" i="18"/>
  <c r="AE24" i="18"/>
  <c r="AF24" i="18"/>
  <c r="B73" i="14"/>
  <c r="AT501" i="14" s="1"/>
  <c r="A25" i="18" s="1"/>
  <c r="B25" i="18"/>
  <c r="AV501" i="14"/>
  <c r="C25" i="18" s="1"/>
  <c r="BA501" i="14"/>
  <c r="H25" i="18" s="1"/>
  <c r="BB501" i="14"/>
  <c r="I25" i="18" s="1"/>
  <c r="BC501" i="14"/>
  <c r="J25" i="18" s="1"/>
  <c r="BD501" i="14"/>
  <c r="K25" i="18" s="1"/>
  <c r="BE501" i="14"/>
  <c r="L25" i="18" s="1"/>
  <c r="BF501" i="14"/>
  <c r="M25" i="18" s="1"/>
  <c r="N25" i="18"/>
  <c r="Q25" i="18"/>
  <c r="BL501" i="14"/>
  <c r="S25" i="18" s="1"/>
  <c r="BN501" i="14"/>
  <c r="U25" i="18" s="1"/>
  <c r="AB25" i="18"/>
  <c r="AC25" i="18"/>
  <c r="AD25" i="18"/>
  <c r="AE25" i="18"/>
  <c r="AF25" i="18"/>
  <c r="B26" i="18"/>
  <c r="N26" i="18"/>
  <c r="Q26" i="18"/>
  <c r="AB26" i="18"/>
  <c r="AD26" i="18"/>
  <c r="AE26" i="18"/>
  <c r="AF26" i="18"/>
  <c r="B27" i="18"/>
  <c r="N27" i="18"/>
  <c r="Q27" i="18"/>
  <c r="AB27" i="18"/>
  <c r="AD27" i="18"/>
  <c r="AE27" i="18"/>
  <c r="AF27" i="18"/>
  <c r="B28" i="18"/>
  <c r="N28" i="18"/>
  <c r="Q28" i="18"/>
  <c r="AB28" i="18"/>
  <c r="AC28" i="18"/>
  <c r="AD28" i="18"/>
  <c r="AE28" i="18"/>
  <c r="AF28" i="18"/>
  <c r="B29" i="18"/>
  <c r="N29" i="18"/>
  <c r="Q29" i="18"/>
  <c r="BP505" i="14"/>
  <c r="W29" i="18" s="1"/>
  <c r="AA29" i="18"/>
  <c r="AB29" i="18"/>
  <c r="AD29" i="18"/>
  <c r="AE29" i="18"/>
  <c r="AF29" i="18"/>
  <c r="B30" i="18"/>
  <c r="N30" i="18"/>
  <c r="Q30" i="18"/>
  <c r="AA30" i="18"/>
  <c r="AB30" i="18"/>
  <c r="AD30" i="18"/>
  <c r="AE30" i="18"/>
  <c r="AF30" i="18"/>
  <c r="B31" i="18"/>
  <c r="N31" i="18"/>
  <c r="Q31" i="18"/>
  <c r="AA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N67" i="14"/>
  <c r="AT509" i="14" s="1"/>
  <c r="A33" i="18" s="1"/>
  <c r="B33" i="18"/>
  <c r="AV509" i="14"/>
  <c r="C33" i="18" s="1"/>
  <c r="BA509" i="14"/>
  <c r="H33" i="18" s="1"/>
  <c r="BB509" i="14"/>
  <c r="I33" i="18" s="1"/>
  <c r="BC509" i="14"/>
  <c r="J33" i="18" s="1"/>
  <c r="BD509" i="14"/>
  <c r="K33" i="18" s="1"/>
  <c r="BE509" i="14"/>
  <c r="L33" i="18" s="1"/>
  <c r="BF509" i="14"/>
  <c r="M33" i="18" s="1"/>
  <c r="N33" i="18"/>
  <c r="Q33" i="18"/>
  <c r="BL509" i="14"/>
  <c r="BI509" i="14" s="1"/>
  <c r="P33" i="18" s="1"/>
  <c r="BN509" i="14"/>
  <c r="U33" i="18" s="1"/>
  <c r="BP509" i="14"/>
  <c r="W33" i="18" s="1"/>
  <c r="AB33" i="18"/>
  <c r="AD33" i="18"/>
  <c r="AE33" i="18"/>
  <c r="AF33" i="18"/>
  <c r="N70" i="14"/>
  <c r="AT510" i="14" s="1"/>
  <c r="A34" i="18" s="1"/>
  <c r="B34" i="18"/>
  <c r="AV510" i="14"/>
  <c r="C34" i="18" s="1"/>
  <c r="BA510" i="14"/>
  <c r="H34" i="18" s="1"/>
  <c r="BB510" i="14"/>
  <c r="I34" i="18" s="1"/>
  <c r="BC510" i="14"/>
  <c r="J34" i="18" s="1"/>
  <c r="BD510" i="14"/>
  <c r="K34" i="18" s="1"/>
  <c r="BE510" i="14"/>
  <c r="L34" i="18" s="1"/>
  <c r="BF510" i="14"/>
  <c r="M34" i="18" s="1"/>
  <c r="N34" i="18"/>
  <c r="Q34" i="18"/>
  <c r="BL510" i="14"/>
  <c r="BI510" i="14" s="1"/>
  <c r="P34" i="18" s="1"/>
  <c r="AB34" i="18"/>
  <c r="AD34" i="18"/>
  <c r="AE34" i="18"/>
  <c r="AF34" i="18"/>
  <c r="B35" i="18"/>
  <c r="N35" i="18"/>
  <c r="Q35" i="18"/>
  <c r="BL511" i="14"/>
  <c r="S35" i="18" s="1"/>
  <c r="BN511" i="14"/>
  <c r="U35" i="18" s="1"/>
  <c r="AB35" i="18"/>
  <c r="AD35" i="18"/>
  <c r="AE35" i="18"/>
  <c r="AF35" i="18"/>
  <c r="B36" i="18"/>
  <c r="N36" i="18"/>
  <c r="Q36" i="18"/>
  <c r="AB36" i="18"/>
  <c r="AC36" i="18"/>
  <c r="AD36" i="18"/>
  <c r="AE36" i="18"/>
  <c r="AF36" i="18"/>
  <c r="B37" i="18"/>
  <c r="N37" i="18"/>
  <c r="Q37" i="18"/>
  <c r="AB37" i="18"/>
  <c r="AC37" i="18"/>
  <c r="AD37" i="18"/>
  <c r="AE37" i="18"/>
  <c r="AF37" i="18"/>
  <c r="N82" i="14"/>
  <c r="AT514" i="14" s="1"/>
  <c r="A38" i="18" s="1"/>
  <c r="B38" i="18"/>
  <c r="AV514" i="14"/>
  <c r="C38" i="18" s="1"/>
  <c r="BA514" i="14"/>
  <c r="H38" i="18" s="1"/>
  <c r="BB514" i="14"/>
  <c r="I38" i="18" s="1"/>
  <c r="BC514" i="14"/>
  <c r="J38" i="18" s="1"/>
  <c r="BD514" i="14"/>
  <c r="K38" i="18"/>
  <c r="BE514" i="14"/>
  <c r="L38" i="18" s="1"/>
  <c r="BF514" i="14"/>
  <c r="M38" i="18" s="1"/>
  <c r="N38" i="18"/>
  <c r="Q38" i="18"/>
  <c r="BL514" i="14"/>
  <c r="S38" i="18" s="1"/>
  <c r="BN514" i="14"/>
  <c r="U38" i="18" s="1"/>
  <c r="AB38" i="18"/>
  <c r="AC38" i="18"/>
  <c r="AD38" i="18"/>
  <c r="AE38" i="18"/>
  <c r="AF38" i="18"/>
  <c r="N85" i="14"/>
  <c r="AT515" i="14" s="1"/>
  <c r="A39" i="18" s="1"/>
  <c r="B39" i="18"/>
  <c r="AV515" i="14"/>
  <c r="C39" i="18" s="1"/>
  <c r="BA515" i="14"/>
  <c r="H39" i="18" s="1"/>
  <c r="BB515" i="14"/>
  <c r="I39" i="18" s="1"/>
  <c r="BC515" i="14"/>
  <c r="J39" i="18" s="1"/>
  <c r="BD515" i="14"/>
  <c r="K39" i="18" s="1"/>
  <c r="BE515" i="14"/>
  <c r="L39" i="18" s="1"/>
  <c r="BF515" i="14"/>
  <c r="M39" i="18" s="1"/>
  <c r="N39" i="18"/>
  <c r="Q39" i="18"/>
  <c r="BN515" i="14"/>
  <c r="U39" i="18" s="1"/>
  <c r="AB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D46" i="18"/>
  <c r="AE46" i="18"/>
  <c r="AF46" i="18"/>
  <c r="B47" i="18"/>
  <c r="N47" i="18"/>
  <c r="O47" i="18"/>
  <c r="P47" i="18"/>
  <c r="Q47" i="18"/>
  <c r="R47" i="18"/>
  <c r="S47" i="18"/>
  <c r="Z47" i="18"/>
  <c r="AA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D49" i="18"/>
  <c r="AE49" i="18"/>
  <c r="AF49" i="18"/>
  <c r="B127" i="14"/>
  <c r="AT526" i="14" s="1"/>
  <c r="A50" i="18" s="1"/>
  <c r="B50" i="18"/>
  <c r="N50" i="18"/>
  <c r="O50" i="18"/>
  <c r="P50" i="18"/>
  <c r="Q50" i="18"/>
  <c r="R50" i="18"/>
  <c r="S50" i="18"/>
  <c r="Z50" i="18"/>
  <c r="AB50" i="18"/>
  <c r="AC50" i="18"/>
  <c r="AD50" i="18"/>
  <c r="AE50" i="18"/>
  <c r="AF50" i="18"/>
  <c r="B130" i="14"/>
  <c r="AT527" i="14" s="1"/>
  <c r="A51" i="18" s="1"/>
  <c r="B51" i="18"/>
  <c r="N51" i="18"/>
  <c r="O51" i="18"/>
  <c r="P51" i="18"/>
  <c r="Q51" i="18"/>
  <c r="R51" i="18"/>
  <c r="S51" i="18"/>
  <c r="Z51" i="18"/>
  <c r="AA51" i="18"/>
  <c r="AB51" i="18"/>
  <c r="AD51" i="18"/>
  <c r="AE51" i="18"/>
  <c r="AF51" i="18"/>
  <c r="B133" i="14"/>
  <c r="AT528" i="14" s="1"/>
  <c r="A52" i="18" s="1"/>
  <c r="B52" i="18"/>
  <c r="N52" i="18"/>
  <c r="O52" i="18"/>
  <c r="P52" i="18"/>
  <c r="Q52" i="18"/>
  <c r="R52" i="18"/>
  <c r="S52" i="18"/>
  <c r="Z52" i="18"/>
  <c r="AB52" i="18"/>
  <c r="AC52" i="18"/>
  <c r="AD52" i="18"/>
  <c r="AE52" i="18"/>
  <c r="AF52" i="18"/>
  <c r="B136" i="14"/>
  <c r="AT529" i="14" s="1"/>
  <c r="A53" i="18" s="1"/>
  <c r="B53" i="18"/>
  <c r="N53" i="18"/>
  <c r="O53" i="18"/>
  <c r="P53" i="18"/>
  <c r="Q53" i="18"/>
  <c r="R53" i="18"/>
  <c r="S53" i="18"/>
  <c r="Z53" i="18"/>
  <c r="AA53" i="18"/>
  <c r="AB53" i="18"/>
  <c r="AD53" i="18"/>
  <c r="AE53" i="18"/>
  <c r="AF53" i="18"/>
  <c r="B139" i="14"/>
  <c r="AT530" i="14" s="1"/>
  <c r="A54" i="18" s="1"/>
  <c r="B54" i="18"/>
  <c r="N54" i="18"/>
  <c r="O54" i="18"/>
  <c r="P54" i="18"/>
  <c r="Q54" i="18"/>
  <c r="R54" i="18"/>
  <c r="S54" i="18"/>
  <c r="Z54" i="18"/>
  <c r="AB54" i="18"/>
  <c r="AC54" i="18"/>
  <c r="AD54" i="18"/>
  <c r="AE54" i="18"/>
  <c r="AF54" i="18"/>
  <c r="B142" i="14"/>
  <c r="AT531" i="14" s="1"/>
  <c r="A55" i="18" s="1"/>
  <c r="B55" i="18"/>
  <c r="N55" i="18"/>
  <c r="O55" i="18"/>
  <c r="P55" i="18"/>
  <c r="Q55" i="18"/>
  <c r="R55" i="18"/>
  <c r="S55" i="18"/>
  <c r="Z55" i="18"/>
  <c r="AA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A56" i="18"/>
  <c r="AB56" i="18"/>
  <c r="AC56" i="18"/>
  <c r="AD56" i="18"/>
  <c r="AE56" i="18"/>
  <c r="AF56" i="18"/>
  <c r="BT532" i="14"/>
  <c r="AG56" i="18" s="1"/>
  <c r="B57" i="18"/>
  <c r="N57" i="18"/>
  <c r="O57" i="18"/>
  <c r="P57" i="18"/>
  <c r="Q57" i="18"/>
  <c r="R57" i="18"/>
  <c r="S57" i="18"/>
  <c r="Z57" i="18"/>
  <c r="AB57" i="18"/>
  <c r="AD57" i="18"/>
  <c r="AE57" i="18"/>
  <c r="AF57" i="18"/>
  <c r="B58" i="18"/>
  <c r="N58" i="18"/>
  <c r="O58" i="18"/>
  <c r="P58" i="18"/>
  <c r="Q58" i="18"/>
  <c r="R58" i="18"/>
  <c r="S58" i="18"/>
  <c r="Z58" i="18"/>
  <c r="AA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A60" i="18"/>
  <c r="AB60" i="18"/>
  <c r="AD60" i="18"/>
  <c r="AE60" i="18"/>
  <c r="AF60" i="18"/>
  <c r="N127" i="14"/>
  <c r="AT537" i="14" s="1"/>
  <c r="A61" i="18" s="1"/>
  <c r="B61" i="18"/>
  <c r="N61" i="18"/>
  <c r="O61" i="18"/>
  <c r="P61" i="18"/>
  <c r="Q61" i="18"/>
  <c r="R61" i="18"/>
  <c r="S61" i="18"/>
  <c r="Z61" i="18"/>
  <c r="AB61" i="18"/>
  <c r="AC61" i="18"/>
  <c r="AD61" i="18"/>
  <c r="AE61" i="18"/>
  <c r="AF61" i="18"/>
  <c r="N130" i="14"/>
  <c r="AT538" i="14" s="1"/>
  <c r="A62" i="18" s="1"/>
  <c r="B62" i="18"/>
  <c r="N62" i="18"/>
  <c r="O62" i="18"/>
  <c r="P62" i="18"/>
  <c r="Q62" i="18"/>
  <c r="R62" i="18"/>
  <c r="S62" i="18"/>
  <c r="Z62" i="18"/>
  <c r="AA62" i="18"/>
  <c r="AB62" i="18"/>
  <c r="AD62" i="18"/>
  <c r="AE62" i="18"/>
  <c r="AF62" i="18"/>
  <c r="N133" i="14"/>
  <c r="AT539" i="14" s="1"/>
  <c r="A63" i="18" s="1"/>
  <c r="B63" i="18"/>
  <c r="N63" i="18"/>
  <c r="O63" i="18"/>
  <c r="P63" i="18"/>
  <c r="Q63" i="18"/>
  <c r="R63" i="18"/>
  <c r="S63" i="18"/>
  <c r="Z63" i="18"/>
  <c r="AB63" i="18"/>
  <c r="AC63" i="18"/>
  <c r="AD63" i="18"/>
  <c r="AE63" i="18"/>
  <c r="AF63" i="18"/>
  <c r="N136" i="14"/>
  <c r="AT540" i="14" s="1"/>
  <c r="A64" i="18" s="1"/>
  <c r="B64" i="18"/>
  <c r="N64" i="18"/>
  <c r="O64" i="18"/>
  <c r="P64" i="18"/>
  <c r="Q64" i="18"/>
  <c r="R64" i="18"/>
  <c r="S64" i="18"/>
  <c r="Z64" i="18"/>
  <c r="AA64" i="18"/>
  <c r="AB64" i="18"/>
  <c r="AC64" i="18"/>
  <c r="AD64" i="18"/>
  <c r="AE64" i="18"/>
  <c r="AF64" i="18"/>
  <c r="N139" i="14"/>
  <c r="AT541" i="14" s="1"/>
  <c r="A65" i="18" s="1"/>
  <c r="B65" i="18"/>
  <c r="N65" i="18"/>
  <c r="O65" i="18"/>
  <c r="P65" i="18"/>
  <c r="Q65" i="18"/>
  <c r="R65" i="18"/>
  <c r="S65" i="18"/>
  <c r="Z65" i="18"/>
  <c r="AB65" i="18"/>
  <c r="AD65" i="18"/>
  <c r="AE65" i="18"/>
  <c r="AF65" i="18"/>
  <c r="N142" i="14"/>
  <c r="AT542" i="14" s="1"/>
  <c r="A66" i="18" s="1"/>
  <c r="B66" i="18"/>
  <c r="N66" i="18"/>
  <c r="O66" i="18"/>
  <c r="P66" i="18"/>
  <c r="Q66" i="18"/>
  <c r="R66" i="18"/>
  <c r="S66" i="18"/>
  <c r="Z66" i="18"/>
  <c r="AA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D71" i="18"/>
  <c r="AE71" i="18"/>
  <c r="AF71" i="18"/>
  <c r="B165" i="14"/>
  <c r="AT548" i="14" s="1"/>
  <c r="A72" i="18" s="1"/>
  <c r="B72" i="18"/>
  <c r="N72" i="18"/>
  <c r="O72" i="18"/>
  <c r="P72" i="18"/>
  <c r="Q72" i="18"/>
  <c r="R72" i="18"/>
  <c r="S72" i="18"/>
  <c r="Z72" i="18"/>
  <c r="AB72" i="18"/>
  <c r="AD72" i="18"/>
  <c r="AE72" i="18"/>
  <c r="AF72" i="18"/>
  <c r="B168" i="14"/>
  <c r="AT549" i="14" s="1"/>
  <c r="A73" i="18" s="1"/>
  <c r="B73" i="18"/>
  <c r="N73" i="18"/>
  <c r="O73" i="18"/>
  <c r="P73" i="18"/>
  <c r="Q73" i="18"/>
  <c r="R73" i="18"/>
  <c r="S73" i="18"/>
  <c r="Z73" i="18"/>
  <c r="AB73" i="18"/>
  <c r="AC73" i="18"/>
  <c r="AD73" i="18"/>
  <c r="AE73" i="18"/>
  <c r="AF73" i="18"/>
  <c r="B171" i="14"/>
  <c r="AT550" i="14" s="1"/>
  <c r="A74" i="18" s="1"/>
  <c r="B74" i="18"/>
  <c r="N74" i="18"/>
  <c r="O74" i="18"/>
  <c r="P74" i="18"/>
  <c r="Q74" i="18"/>
  <c r="R74" i="18"/>
  <c r="S74" i="18"/>
  <c r="Z74" i="18"/>
  <c r="AB74" i="18"/>
  <c r="AC74" i="18"/>
  <c r="AD74" i="18"/>
  <c r="AE74" i="18"/>
  <c r="AF74" i="18"/>
  <c r="B174" i="14"/>
  <c r="AT551" i="14" s="1"/>
  <c r="A75" i="18" s="1"/>
  <c r="B75" i="18"/>
  <c r="N75" i="18"/>
  <c r="O75" i="18"/>
  <c r="P75" i="18"/>
  <c r="Q75" i="18"/>
  <c r="R75" i="18"/>
  <c r="S75" i="18"/>
  <c r="Z75" i="18"/>
  <c r="AB75" i="18"/>
  <c r="AD75" i="18"/>
  <c r="AE75" i="18"/>
  <c r="AF75" i="18"/>
  <c r="B177" i="14"/>
  <c r="AT552" i="14" s="1"/>
  <c r="A76" i="18" s="1"/>
  <c r="B76" i="18"/>
  <c r="N76" i="18"/>
  <c r="O76" i="18"/>
  <c r="P76" i="18"/>
  <c r="Q76" i="18"/>
  <c r="R76" i="18"/>
  <c r="S76" i="18"/>
  <c r="Z76" i="18"/>
  <c r="AB76" i="18"/>
  <c r="AD76" i="18"/>
  <c r="AE76" i="18"/>
  <c r="AF76" i="18"/>
  <c r="BT552" i="14"/>
  <c r="AG76" i="18" s="1"/>
  <c r="B180" i="14"/>
  <c r="AT553" i="14" s="1"/>
  <c r="A77" i="18" s="1"/>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T554" i="14"/>
  <c r="AG78" i="18" s="1"/>
  <c r="N153" i="14"/>
  <c r="AT555" i="14" s="1"/>
  <c r="A79" i="18" s="1"/>
  <c r="B79" i="18"/>
  <c r="N79" i="18"/>
  <c r="O79" i="18"/>
  <c r="P79" i="18"/>
  <c r="Q79" i="18"/>
  <c r="R79" i="18"/>
  <c r="S79" i="18"/>
  <c r="Z79" i="18"/>
  <c r="AB79" i="18"/>
  <c r="AC79" i="18"/>
  <c r="AD79" i="18"/>
  <c r="AE79" i="18"/>
  <c r="AF79" i="18"/>
  <c r="N156" i="14"/>
  <c r="AT556" i="14" s="1"/>
  <c r="A80" i="18" s="1"/>
  <c r="B80" i="18"/>
  <c r="C80" i="18"/>
  <c r="N80" i="18"/>
  <c r="O80" i="18"/>
  <c r="P80" i="18"/>
  <c r="Q80" i="18"/>
  <c r="R80" i="18"/>
  <c r="S80" i="18"/>
  <c r="Z80" i="18"/>
  <c r="AB80" i="18"/>
  <c r="AC80" i="18"/>
  <c r="AD80" i="18"/>
  <c r="AE80" i="18"/>
  <c r="AF80" i="18"/>
  <c r="N159" i="14"/>
  <c r="AT557" i="14" s="1"/>
  <c r="A81" i="18" s="1"/>
  <c r="B81" i="18"/>
  <c r="N81" i="18"/>
  <c r="O81" i="18"/>
  <c r="P81" i="18"/>
  <c r="Q81" i="18"/>
  <c r="R81" i="18"/>
  <c r="S81" i="18"/>
  <c r="Z81" i="18"/>
  <c r="AB81" i="18"/>
  <c r="AC81" i="18"/>
  <c r="AD81" i="18"/>
  <c r="AE81" i="18"/>
  <c r="AF81" i="18"/>
  <c r="N162" i="14"/>
  <c r="AT558" i="14" s="1"/>
  <c r="A82" i="18" s="1"/>
  <c r="B82" i="18"/>
  <c r="N82" i="18"/>
  <c r="O82" i="18"/>
  <c r="P82" i="18"/>
  <c r="Q82" i="18"/>
  <c r="R82" i="18"/>
  <c r="S82" i="18"/>
  <c r="Z82" i="18"/>
  <c r="AB82" i="18"/>
  <c r="AC82" i="18"/>
  <c r="AD82" i="18"/>
  <c r="AE82" i="18"/>
  <c r="AF82" i="18"/>
  <c r="N165" i="14"/>
  <c r="AT559" i="14" s="1"/>
  <c r="A83" i="18" s="1"/>
  <c r="B83" i="18"/>
  <c r="N83" i="18"/>
  <c r="O83" i="18"/>
  <c r="P83" i="18"/>
  <c r="Q83" i="18"/>
  <c r="R83" i="18"/>
  <c r="S83" i="18"/>
  <c r="Z83" i="18"/>
  <c r="AB83" i="18"/>
  <c r="AC83" i="18"/>
  <c r="AD83" i="18"/>
  <c r="AE83" i="18"/>
  <c r="AF83" i="18"/>
  <c r="N168" i="14"/>
  <c r="AT560" i="14" s="1"/>
  <c r="A84" i="18" s="1"/>
  <c r="B84" i="18"/>
  <c r="N84" i="18"/>
  <c r="O84" i="18"/>
  <c r="P84" i="18"/>
  <c r="Q84" i="18"/>
  <c r="R84" i="18"/>
  <c r="S84" i="18"/>
  <c r="Z84" i="18"/>
  <c r="AB84" i="18"/>
  <c r="AC84" i="18"/>
  <c r="AD84" i="18"/>
  <c r="AE84" i="18"/>
  <c r="AF84" i="18"/>
  <c r="N171" i="14"/>
  <c r="AT561" i="14" s="1"/>
  <c r="A85" i="18" s="1"/>
  <c r="B85" i="18"/>
  <c r="N85" i="18"/>
  <c r="O85" i="18"/>
  <c r="P85" i="18"/>
  <c r="Q85" i="18"/>
  <c r="R85" i="18"/>
  <c r="S85" i="18"/>
  <c r="Z85" i="18"/>
  <c r="AB85" i="18"/>
  <c r="AC85" i="18"/>
  <c r="AD85" i="18"/>
  <c r="AE85" i="18"/>
  <c r="AF85" i="18"/>
  <c r="N174" i="14"/>
  <c r="AT562" i="14" s="1"/>
  <c r="A86" i="18" s="1"/>
  <c r="B86" i="18"/>
  <c r="N86" i="18"/>
  <c r="O86" i="18"/>
  <c r="P86" i="18"/>
  <c r="Q86" i="18"/>
  <c r="R86" i="18"/>
  <c r="S86" i="18"/>
  <c r="Z86" i="18"/>
  <c r="AB86" i="18"/>
  <c r="AC86" i="18"/>
  <c r="AD86" i="18"/>
  <c r="AE86" i="18"/>
  <c r="AF86" i="18"/>
  <c r="N177" i="14"/>
  <c r="AT563" i="14" s="1"/>
  <c r="A87" i="18" s="1"/>
  <c r="B87" i="18"/>
  <c r="N87" i="18"/>
  <c r="O87" i="18"/>
  <c r="P87" i="18"/>
  <c r="Q87" i="18"/>
  <c r="R87" i="18"/>
  <c r="S87" i="18"/>
  <c r="Z87" i="18"/>
  <c r="AB87" i="18"/>
  <c r="AC87" i="18"/>
  <c r="AD87" i="18"/>
  <c r="AE87" i="18"/>
  <c r="AF87" i="18"/>
  <c r="N180" i="14"/>
  <c r="AT564" i="14" s="1"/>
  <c r="A88" i="18" s="1"/>
  <c r="B88" i="18"/>
  <c r="N88" i="18"/>
  <c r="O88" i="18"/>
  <c r="P88" i="18"/>
  <c r="Q88" i="18"/>
  <c r="R88" i="18"/>
  <c r="S88" i="18"/>
  <c r="Z88" i="18"/>
  <c r="AB88" i="18"/>
  <c r="AC88" i="18"/>
  <c r="AD88" i="18"/>
  <c r="AE88" i="18"/>
  <c r="AF88" i="18"/>
  <c r="AF3" i="18"/>
  <c r="AE3" i="18"/>
  <c r="AD3" i="18"/>
  <c r="AC3" i="18"/>
  <c r="AB3" i="18"/>
  <c r="Q3" i="18"/>
  <c r="N3" i="18"/>
  <c r="BF479" i="14"/>
  <c r="M3" i="18" s="1"/>
  <c r="BE479" i="14"/>
  <c r="L3" i="18" s="1"/>
  <c r="BD479" i="14"/>
  <c r="K3" i="18" s="1"/>
  <c r="BC479" i="14"/>
  <c r="J3" i="18" s="1"/>
  <c r="BB479" i="14"/>
  <c r="I3" i="18" s="1"/>
  <c r="BA479" i="14"/>
  <c r="H3" i="18" s="1"/>
  <c r="B3" i="18"/>
  <c r="Z2" i="18"/>
  <c r="Y2" i="18"/>
  <c r="X2" i="18"/>
  <c r="W2" i="18"/>
  <c r="V2" i="18"/>
  <c r="U2" i="18"/>
  <c r="T2" i="18"/>
  <c r="S2" i="18"/>
  <c r="R2" i="18"/>
  <c r="Q2" i="18"/>
  <c r="P2" i="18"/>
  <c r="O2" i="18"/>
  <c r="N2" i="18"/>
  <c r="M2" i="18"/>
  <c r="L2" i="18"/>
  <c r="K2" i="18"/>
  <c r="J2" i="18"/>
  <c r="I2" i="18"/>
  <c r="H2" i="18"/>
  <c r="G2" i="18"/>
  <c r="F2" i="18"/>
  <c r="E2" i="18"/>
  <c r="D2" i="18"/>
  <c r="C2" i="18"/>
  <c r="B2" i="18"/>
  <c r="A2" i="18"/>
  <c r="BT519" i="14"/>
  <c r="AG43" i="18" s="1"/>
  <c r="BT520" i="14"/>
  <c r="AG44" i="18" s="1"/>
  <c r="BT521" i="14"/>
  <c r="AG45" i="18" s="1"/>
  <c r="BT543" i="14"/>
  <c r="AG67" i="18" s="1"/>
  <c r="BT561" i="14"/>
  <c r="AG85" i="18" s="1"/>
  <c r="BT518" i="14"/>
  <c r="AG42" i="18" s="1"/>
  <c r="BT508" i="14"/>
  <c r="AG32" i="18" s="1"/>
  <c r="BT498" i="14"/>
  <c r="AG22" i="18" s="1"/>
  <c r="BT488" i="14"/>
  <c r="AG12" i="18" s="1"/>
  <c r="A63" i="14"/>
  <c r="A234" i="14" s="1"/>
  <c r="A21" i="14"/>
  <c r="A214" i="14" s="1"/>
  <c r="A111" i="14"/>
  <c r="A20" i="14"/>
  <c r="AV564" i="14"/>
  <c r="BT564" i="14" s="1"/>
  <c r="AG88" i="18" s="1"/>
  <c r="AV563" i="14"/>
  <c r="C87" i="18" s="1"/>
  <c r="AV562" i="14"/>
  <c r="AY562" i="14" s="1"/>
  <c r="F86" i="18" s="1"/>
  <c r="AV561" i="14"/>
  <c r="C85" i="18" s="1"/>
  <c r="AX561" i="14"/>
  <c r="E85" i="18" s="1"/>
  <c r="AV560" i="14"/>
  <c r="BT560" i="14" s="1"/>
  <c r="AG84" i="18" s="1"/>
  <c r="AV559" i="14"/>
  <c r="BT559" i="14" s="1"/>
  <c r="AG83" i="18" s="1"/>
  <c r="AV558" i="14"/>
  <c r="C82" i="18" s="1"/>
  <c r="AV557" i="14"/>
  <c r="C81" i="18" s="1"/>
  <c r="AV556" i="14"/>
  <c r="BT556" i="14" s="1"/>
  <c r="AG80" i="18" s="1"/>
  <c r="AY556" i="14"/>
  <c r="F80" i="18" s="1"/>
  <c r="AV555" i="14"/>
  <c r="AX555" i="14" s="1"/>
  <c r="E79" i="18" s="1"/>
  <c r="BP553" i="14"/>
  <c r="W77" i="18" s="1"/>
  <c r="BN553" i="14"/>
  <c r="U77" i="18" s="1"/>
  <c r="BM553" i="14"/>
  <c r="T77" i="18" s="1"/>
  <c r="BF553" i="14"/>
  <c r="M77" i="18" s="1"/>
  <c r="BE553" i="14"/>
  <c r="L77" i="18" s="1"/>
  <c r="BD553" i="14"/>
  <c r="K77" i="18" s="1"/>
  <c r="BC553" i="14"/>
  <c r="J77" i="18" s="1"/>
  <c r="BB553" i="14"/>
  <c r="I77" i="18" s="1"/>
  <c r="BA553" i="14"/>
  <c r="H77" i="18" s="1"/>
  <c r="AV553" i="14"/>
  <c r="AY553" i="14" s="1"/>
  <c r="F77" i="18" s="1"/>
  <c r="BP552" i="14"/>
  <c r="W76" i="18" s="1"/>
  <c r="BN552" i="14"/>
  <c r="U76" i="18" s="1"/>
  <c r="BM552" i="14"/>
  <c r="T76" i="18" s="1"/>
  <c r="BF552" i="14"/>
  <c r="M76" i="18" s="1"/>
  <c r="BE552" i="14"/>
  <c r="L76" i="18" s="1"/>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C75" i="18" s="1"/>
  <c r="BP550" i="14"/>
  <c r="W74" i="18" s="1"/>
  <c r="BN550" i="14"/>
  <c r="U74" i="18" s="1"/>
  <c r="BM550" i="14"/>
  <c r="T74" i="18" s="1"/>
  <c r="BF550" i="14"/>
  <c r="M74" i="18" s="1"/>
  <c r="BE550" i="14"/>
  <c r="L74" i="18" s="1"/>
  <c r="BD550" i="14"/>
  <c r="K74" i="18" s="1"/>
  <c r="BC550" i="14"/>
  <c r="J74" i="18" s="1"/>
  <c r="BB550" i="14"/>
  <c r="I74" i="18" s="1"/>
  <c r="BA550" i="14"/>
  <c r="H74" i="18" s="1"/>
  <c r="AV550" i="14"/>
  <c r="BT550" i="14" s="1"/>
  <c r="AG74" i="18" s="1"/>
  <c r="BP549" i="14"/>
  <c r="W73" i="18" s="1"/>
  <c r="BN549" i="14"/>
  <c r="U73" i="18" s="1"/>
  <c r="BM549" i="14"/>
  <c r="T73" i="18" s="1"/>
  <c r="BF549" i="14"/>
  <c r="M73" i="18" s="1"/>
  <c r="BE549" i="14"/>
  <c r="L73" i="18" s="1"/>
  <c r="BD549" i="14"/>
  <c r="K73" i="18" s="1"/>
  <c r="BC549" i="14"/>
  <c r="J73" i="18" s="1"/>
  <c r="BB549" i="14"/>
  <c r="I73" i="18" s="1"/>
  <c r="BA549" i="14"/>
  <c r="H73" i="18" s="1"/>
  <c r="AV549" i="14"/>
  <c r="BT549" i="14" s="1"/>
  <c r="AG73" i="18" s="1"/>
  <c r="BP548" i="14"/>
  <c r="W72" i="18" s="1"/>
  <c r="BN548" i="14"/>
  <c r="U72" i="18" s="1"/>
  <c r="BM548" i="14"/>
  <c r="T72" i="18" s="1"/>
  <c r="BF548" i="14"/>
  <c r="M72" i="18" s="1"/>
  <c r="BE548" i="14"/>
  <c r="L72" i="18" s="1"/>
  <c r="BD548" i="14"/>
  <c r="K72" i="18" s="1"/>
  <c r="BC548" i="14"/>
  <c r="J72" i="18" s="1"/>
  <c r="BB548" i="14"/>
  <c r="I72" i="18" s="1"/>
  <c r="BA548" i="14"/>
  <c r="H72" i="18" s="1"/>
  <c r="AV548" i="14"/>
  <c r="AY548" i="14" s="1"/>
  <c r="F72" i="18" s="1"/>
  <c r="BP547" i="14"/>
  <c r="W71" i="18" s="1"/>
  <c r="BN547" i="14"/>
  <c r="U71" i="18" s="1"/>
  <c r="BM547" i="14"/>
  <c r="T71" i="18" s="1"/>
  <c r="BF547" i="14"/>
  <c r="M71" i="18" s="1"/>
  <c r="BE547" i="14"/>
  <c r="L71" i="18" s="1"/>
  <c r="BD547" i="14"/>
  <c r="K71" i="18" s="1"/>
  <c r="BC547" i="14"/>
  <c r="J71" i="18" s="1"/>
  <c r="BB547" i="14"/>
  <c r="I71" i="18" s="1"/>
  <c r="BA547" i="14"/>
  <c r="H71" i="18" s="1"/>
  <c r="AV547" i="14"/>
  <c r="C71" i="18" s="1"/>
  <c r="BP546" i="14"/>
  <c r="W70" i="18" s="1"/>
  <c r="BN546" i="14"/>
  <c r="U70" i="18" s="1"/>
  <c r="BM546" i="14"/>
  <c r="T70" i="18" s="1"/>
  <c r="BF546" i="14"/>
  <c r="M70" i="18" s="1"/>
  <c r="BE546" i="14"/>
  <c r="L70" i="18" s="1"/>
  <c r="BD546" i="14"/>
  <c r="K70" i="18" s="1"/>
  <c r="BC546" i="14"/>
  <c r="J70" i="18" s="1"/>
  <c r="BB546" i="14"/>
  <c r="I70" i="18" s="1"/>
  <c r="BA546" i="14"/>
  <c r="H70" i="18" s="1"/>
  <c r="AV546" i="14"/>
  <c r="C70" i="18" s="1"/>
  <c r="BP545" i="14"/>
  <c r="W69" i="18" s="1"/>
  <c r="BN545" i="14"/>
  <c r="U69" i="18" s="1"/>
  <c r="BM545" i="14"/>
  <c r="T69" i="18" s="1"/>
  <c r="BF545" i="14"/>
  <c r="M69" i="18" s="1"/>
  <c r="BE545" i="14"/>
  <c r="L69" i="18" s="1"/>
  <c r="BD545" i="14"/>
  <c r="K69" i="18" s="1"/>
  <c r="BC545" i="14"/>
  <c r="J69" i="18" s="1"/>
  <c r="BB545" i="14"/>
  <c r="I69" i="18" s="1"/>
  <c r="BA545" i="14"/>
  <c r="H69" i="18" s="1"/>
  <c r="AV545" i="14"/>
  <c r="C69" i="18" s="1"/>
  <c r="BP544" i="14"/>
  <c r="W68" i="18" s="1"/>
  <c r="BN544" i="14"/>
  <c r="U68" i="18" s="1"/>
  <c r="BM544" i="14"/>
  <c r="T68" i="18" s="1"/>
  <c r="BF544" i="14"/>
  <c r="M68" i="18" s="1"/>
  <c r="BE544" i="14"/>
  <c r="L68" i="18" s="1"/>
  <c r="BD544" i="14"/>
  <c r="K68" i="18" s="1"/>
  <c r="BC544" i="14"/>
  <c r="J68" i="18" s="1"/>
  <c r="BB544" i="14"/>
  <c r="I68" i="18" s="1"/>
  <c r="BA544" i="14"/>
  <c r="H68" i="18" s="1"/>
  <c r="AV544" i="14"/>
  <c r="BO544" i="14" s="1"/>
  <c r="V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BA562" i="14"/>
  <c r="H86" i="18" s="1"/>
  <c r="BB562" i="14"/>
  <c r="I86" i="18" s="1"/>
  <c r="BC562" i="14"/>
  <c r="J86" i="18" s="1"/>
  <c r="BD562" i="14"/>
  <c r="K86" i="18" s="1"/>
  <c r="BE562" i="14"/>
  <c r="L86" i="18" s="1"/>
  <c r="BF562" i="14"/>
  <c r="M86" i="18" s="1"/>
  <c r="BM562" i="14"/>
  <c r="T86" i="18" s="1"/>
  <c r="BN562" i="14"/>
  <c r="U86" i="18" s="1"/>
  <c r="BP562" i="14"/>
  <c r="W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W542" i="14"/>
  <c r="D66" i="18" s="1"/>
  <c r="AV541" i="14"/>
  <c r="C65" i="18" s="1"/>
  <c r="AV540" i="14"/>
  <c r="C64" i="18" s="1"/>
  <c r="AV539" i="14"/>
  <c r="C63" i="18" s="1"/>
  <c r="AV538" i="14"/>
  <c r="AW538" i="14" s="1"/>
  <c r="D62" i="18" s="1"/>
  <c r="AV537" i="14"/>
  <c r="C61" i="18" s="1"/>
  <c r="AV536" i="14"/>
  <c r="C60" i="18" s="1"/>
  <c r="AV535" i="14"/>
  <c r="C59" i="18" s="1"/>
  <c r="AX535" i="14"/>
  <c r="E59" i="18" s="1"/>
  <c r="AV534" i="14"/>
  <c r="AW534" i="14" s="1"/>
  <c r="D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BO531" i="14" s="1"/>
  <c r="V55" i="18" s="1"/>
  <c r="BP530" i="14"/>
  <c r="W54" i="18" s="1"/>
  <c r="BN530" i="14"/>
  <c r="U54" i="18" s="1"/>
  <c r="BM530" i="14"/>
  <c r="T54" i="18" s="1"/>
  <c r="BF530" i="14"/>
  <c r="M54" i="18" s="1"/>
  <c r="BE530" i="14"/>
  <c r="L54" i="18" s="1"/>
  <c r="BD530" i="14"/>
  <c r="K54" i="18" s="1"/>
  <c r="BC530" i="14"/>
  <c r="J54" i="18" s="1"/>
  <c r="BB530" i="14"/>
  <c r="I54" i="18" s="1"/>
  <c r="BA530" i="14"/>
  <c r="H54" i="18" s="1"/>
  <c r="AV530" i="14"/>
  <c r="BT530" i="14" s="1"/>
  <c r="AG54" i="18" s="1"/>
  <c r="BP529" i="14"/>
  <c r="W53" i="18" s="1"/>
  <c r="BN529" i="14"/>
  <c r="U53" i="18" s="1"/>
  <c r="BM529" i="14"/>
  <c r="T53" i="18" s="1"/>
  <c r="BF529" i="14"/>
  <c r="M53" i="18" s="1"/>
  <c r="BE529" i="14"/>
  <c r="L53" i="18" s="1"/>
  <c r="BD529" i="14"/>
  <c r="K53" i="18" s="1"/>
  <c r="BC529" i="14"/>
  <c r="J53" i="18" s="1"/>
  <c r="BB529" i="14"/>
  <c r="I53" i="18" s="1"/>
  <c r="BA529" i="14"/>
  <c r="H53" i="18" s="1"/>
  <c r="AV529" i="14"/>
  <c r="C53" i="18" s="1"/>
  <c r="BP528" i="14"/>
  <c r="W52" i="18" s="1"/>
  <c r="BN528" i="14"/>
  <c r="U52" i="18" s="1"/>
  <c r="BM528" i="14"/>
  <c r="T52" i="18" s="1"/>
  <c r="BF528" i="14"/>
  <c r="M52" i="18" s="1"/>
  <c r="BE528" i="14"/>
  <c r="L52" i="18" s="1"/>
  <c r="BD528" i="14"/>
  <c r="K52" i="18" s="1"/>
  <c r="BC528" i="14"/>
  <c r="J52" i="18" s="1"/>
  <c r="BB528" i="14"/>
  <c r="I52" i="18" s="1"/>
  <c r="BA528" i="14"/>
  <c r="H52" i="18" s="1"/>
  <c r="AV528" i="14"/>
  <c r="AW528" i="14" s="1"/>
  <c r="D52" i="18" s="1"/>
  <c r="BP527" i="14"/>
  <c r="W51" i="18" s="1"/>
  <c r="BN527" i="14"/>
  <c r="U51" i="18" s="1"/>
  <c r="BM527" i="14"/>
  <c r="T51" i="18" s="1"/>
  <c r="BF527" i="14"/>
  <c r="M51" i="18" s="1"/>
  <c r="BE527" i="14"/>
  <c r="L51" i="18" s="1"/>
  <c r="BD527" i="14"/>
  <c r="K51" i="18" s="1"/>
  <c r="BC527" i="14"/>
  <c r="J51" i="18" s="1"/>
  <c r="BB527" i="14"/>
  <c r="I51" i="18" s="1"/>
  <c r="BA527" i="14"/>
  <c r="H51" i="18" s="1"/>
  <c r="AV527" i="14"/>
  <c r="C51" i="18" s="1"/>
  <c r="AX527" i="14"/>
  <c r="E51" i="18" s="1"/>
  <c r="BP526" i="14"/>
  <c r="W50" i="18" s="1"/>
  <c r="BN526" i="14"/>
  <c r="U50" i="18" s="1"/>
  <c r="BM526" i="14"/>
  <c r="T50" i="18" s="1"/>
  <c r="BF526" i="14"/>
  <c r="M50" i="18" s="1"/>
  <c r="BE526" i="14"/>
  <c r="L50" i="18" s="1"/>
  <c r="BD526" i="14"/>
  <c r="K50" i="18" s="1"/>
  <c r="BC526" i="14"/>
  <c r="J50" i="18" s="1"/>
  <c r="BB526" i="14"/>
  <c r="I50" i="18" s="1"/>
  <c r="BA526" i="14"/>
  <c r="H50" i="18" s="1"/>
  <c r="AV526" i="14"/>
  <c r="C50" i="18" s="1"/>
  <c r="BP525" i="14"/>
  <c r="W49" i="18" s="1"/>
  <c r="BN525" i="14"/>
  <c r="U49" i="18" s="1"/>
  <c r="BM525" i="14"/>
  <c r="T49" i="18" s="1"/>
  <c r="BF525" i="14"/>
  <c r="M49" i="18" s="1"/>
  <c r="BE525" i="14"/>
  <c r="L49" i="18" s="1"/>
  <c r="BD525" i="14"/>
  <c r="K49" i="18" s="1"/>
  <c r="BC525" i="14"/>
  <c r="J49" i="18" s="1"/>
  <c r="BB525" i="14"/>
  <c r="I49" i="18" s="1"/>
  <c r="BA525" i="14"/>
  <c r="H49" i="18" s="1"/>
  <c r="AV525" i="14"/>
  <c r="C49" i="18" s="1"/>
  <c r="BP524" i="14"/>
  <c r="W48" i="18" s="1"/>
  <c r="BN524" i="14"/>
  <c r="U48" i="18" s="1"/>
  <c r="BM524" i="14"/>
  <c r="T48" i="18" s="1"/>
  <c r="BF524" i="14"/>
  <c r="M48" i="18" s="1"/>
  <c r="BE524" i="14"/>
  <c r="L48" i="18" s="1"/>
  <c r="BD524" i="14"/>
  <c r="K48" i="18" s="1"/>
  <c r="BC524" i="14"/>
  <c r="J48" i="18" s="1"/>
  <c r="BB524" i="14"/>
  <c r="I48" i="18" s="1"/>
  <c r="BA524" i="14"/>
  <c r="H48" i="18" s="1"/>
  <c r="AV524" i="14"/>
  <c r="C48" i="18" s="1"/>
  <c r="BP523" i="14"/>
  <c r="W47" i="18" s="1"/>
  <c r="BN523" i="14"/>
  <c r="U47" i="18" s="1"/>
  <c r="BM523" i="14"/>
  <c r="T47" i="18" s="1"/>
  <c r="BF523" i="14"/>
  <c r="M47" i="18" s="1"/>
  <c r="BE523" i="14"/>
  <c r="L47" i="18" s="1"/>
  <c r="BD523" i="14"/>
  <c r="K47" i="18" s="1"/>
  <c r="BC523" i="14"/>
  <c r="J47" i="18" s="1"/>
  <c r="BB523" i="14"/>
  <c r="I47" i="18" s="1"/>
  <c r="BA523" i="14"/>
  <c r="H47" i="18" s="1"/>
  <c r="AV523" i="14"/>
  <c r="C47" i="18" s="1"/>
  <c r="BP522" i="14"/>
  <c r="W46" i="18" s="1"/>
  <c r="BN522" i="14"/>
  <c r="U46" i="18" s="1"/>
  <c r="BM522" i="14"/>
  <c r="T46" i="18" s="1"/>
  <c r="BF522" i="14"/>
  <c r="M46" i="18" s="1"/>
  <c r="BE522" i="14"/>
  <c r="L46" i="18" s="1"/>
  <c r="BD522" i="14"/>
  <c r="K46" i="18" s="1"/>
  <c r="BC522" i="14"/>
  <c r="J46" i="18" s="1"/>
  <c r="BB522" i="14"/>
  <c r="I46" i="18" s="1"/>
  <c r="BA522" i="14"/>
  <c r="H46" i="18" s="1"/>
  <c r="AV522" i="14"/>
  <c r="C46" i="18" s="1"/>
  <c r="AV517" i="14"/>
  <c r="C41" i="18" s="1"/>
  <c r="AV516" i="14"/>
  <c r="C40" i="18" s="1"/>
  <c r="AV513" i="14"/>
  <c r="C37" i="18" s="1"/>
  <c r="AV512" i="14"/>
  <c r="C36" i="18" s="1"/>
  <c r="AV511" i="14"/>
  <c r="C35" i="18" s="1"/>
  <c r="AV507" i="14"/>
  <c r="C31" i="18" s="1"/>
  <c r="AV506" i="14"/>
  <c r="C30" i="18" s="1"/>
  <c r="AV505" i="14"/>
  <c r="C29" i="18" s="1"/>
  <c r="AV504" i="14"/>
  <c r="C28" i="18" s="1"/>
  <c r="AV503" i="14"/>
  <c r="C27" i="18" s="1"/>
  <c r="AV502" i="14"/>
  <c r="C26" i="18" s="1"/>
  <c r="AV500" i="14"/>
  <c r="C24" i="18" s="1"/>
  <c r="AV499" i="14"/>
  <c r="C23" i="18" s="1"/>
  <c r="AV497" i="14"/>
  <c r="C21" i="18" s="1"/>
  <c r="AV496" i="14"/>
  <c r="C20" i="18" s="1"/>
  <c r="AV495" i="14"/>
  <c r="C19" i="18" s="1"/>
  <c r="AV493" i="14"/>
  <c r="C17" i="18" s="1"/>
  <c r="AV492" i="14"/>
  <c r="C16" i="18" s="1"/>
  <c r="AV491" i="14"/>
  <c r="C15" i="18" s="1"/>
  <c r="AV490" i="14"/>
  <c r="C14" i="18" s="1"/>
  <c r="AV489" i="14"/>
  <c r="C13" i="18" s="1"/>
  <c r="AV487" i="14"/>
  <c r="C11" i="18" s="1"/>
  <c r="AV486" i="14"/>
  <c r="C10" i="18" s="1"/>
  <c r="AV485" i="14"/>
  <c r="C9" i="18" s="1"/>
  <c r="AV484" i="14"/>
  <c r="C8" i="18" s="1"/>
  <c r="AV482" i="14"/>
  <c r="C6" i="18" s="1"/>
  <c r="AV481" i="14"/>
  <c r="C5" i="18" s="1"/>
  <c r="AV480" i="14"/>
  <c r="C4" i="18" s="1"/>
  <c r="AV479" i="14"/>
  <c r="C3" i="18" s="1"/>
  <c r="AZ548" i="14"/>
  <c r="G72" i="18" s="1"/>
  <c r="BQ552" i="14"/>
  <c r="X76" i="18" s="1"/>
  <c r="AW555" i="14"/>
  <c r="D79" i="18" s="1"/>
  <c r="AZ545" i="14"/>
  <c r="G69" i="18" s="1"/>
  <c r="BQ557" i="14"/>
  <c r="X81" i="18" s="1"/>
  <c r="BR557" i="14"/>
  <c r="Y81" i="18" s="1"/>
  <c r="AW551" i="14"/>
  <c r="D75" i="18" s="1"/>
  <c r="AW553" i="14"/>
  <c r="D77" i="18" s="1"/>
  <c r="BR561" i="14"/>
  <c r="Y85" i="18" s="1"/>
  <c r="AW539" i="14"/>
  <c r="D63" i="18" s="1"/>
  <c r="BO517" i="14"/>
  <c r="V41" i="18" s="1"/>
  <c r="BT517" i="14"/>
  <c r="AG41" i="18" s="1"/>
  <c r="BO501" i="14"/>
  <c r="V25" i="18" s="1"/>
  <c r="BO510" i="14"/>
  <c r="V34" i="18" s="1"/>
  <c r="BO514" i="14"/>
  <c r="V38" i="18" s="1"/>
  <c r="BO493" i="14"/>
  <c r="V17" i="18" s="1"/>
  <c r="BT497" i="14"/>
  <c r="AG21" i="18" s="1"/>
  <c r="BO515" i="14"/>
  <c r="V39" i="18" s="1"/>
  <c r="BO524" i="14"/>
  <c r="V48" i="18" s="1"/>
  <c r="BO509" i="14"/>
  <c r="V33" i="18" s="1"/>
  <c r="BO494" i="14"/>
  <c r="V18" i="18" s="1"/>
  <c r="AW494" i="14"/>
  <c r="BT494" i="14" s="1"/>
  <c r="AG18" i="18" s="1"/>
  <c r="BO529" i="14"/>
  <c r="V53" i="18" s="1"/>
  <c r="AX530" i="14"/>
  <c r="E54" i="18" s="1"/>
  <c r="AW506" i="14"/>
  <c r="D30" i="18" s="1"/>
  <c r="AW501" i="14"/>
  <c r="BT501" i="14" s="1"/>
  <c r="AG25" i="18" s="1"/>
  <c r="BO483" i="14"/>
  <c r="V7" i="18" s="1"/>
  <c r="AX517" i="14"/>
  <c r="E41" i="18" s="1"/>
  <c r="AW517" i="14"/>
  <c r="D41" i="18" s="1"/>
  <c r="AX526" i="14"/>
  <c r="E50" i="18" s="1"/>
  <c r="AX510" i="14"/>
  <c r="E34" i="18" s="1"/>
  <c r="AW510" i="14"/>
  <c r="D34" i="18" s="1"/>
  <c r="AX514" i="14"/>
  <c r="E38" i="18" s="1"/>
  <c r="AW514" i="14"/>
  <c r="AY526" i="14"/>
  <c r="F50" i="18" s="1"/>
  <c r="AY529" i="14"/>
  <c r="F53" i="18" s="1"/>
  <c r="AY530" i="14"/>
  <c r="F54" i="18" s="1"/>
  <c r="AW545" i="14"/>
  <c r="D69" i="18" s="1"/>
  <c r="BO545" i="14"/>
  <c r="V69" i="18" s="1"/>
  <c r="AX515" i="14"/>
  <c r="E39" i="18" s="1"/>
  <c r="AW515" i="14"/>
  <c r="BT515" i="14" s="1"/>
  <c r="AG39" i="18" s="1"/>
  <c r="AX512" i="14"/>
  <c r="E36" i="18" s="1"/>
  <c r="AX534" i="14"/>
  <c r="E58" i="18" s="1"/>
  <c r="AX542" i="14"/>
  <c r="E66" i="18" s="1"/>
  <c r="AX509" i="14"/>
  <c r="E33" i="18" s="1"/>
  <c r="AW509" i="14"/>
  <c r="D33" i="18" s="1"/>
  <c r="AX564" i="14"/>
  <c r="E88" i="18" s="1"/>
  <c r="AZ563" i="14"/>
  <c r="G87" i="18" s="1"/>
  <c r="BQ563" i="14"/>
  <c r="X87" i="18" s="1"/>
  <c r="AZ552" i="14"/>
  <c r="G76" i="18" s="1"/>
  <c r="BO552" i="14"/>
  <c r="V76" i="18" s="1"/>
  <c r="AW552" i="14"/>
  <c r="D76" i="18" s="1"/>
  <c r="AY559" i="14"/>
  <c r="F83" i="18" s="1"/>
  <c r="AW559" i="14"/>
  <c r="D83" i="18" s="1"/>
  <c r="AZ559" i="14"/>
  <c r="G83" i="18" s="1"/>
  <c r="BR548" i="14"/>
  <c r="Y72" i="18" s="1"/>
  <c r="AX548" i="14"/>
  <c r="E72" i="18" s="1"/>
  <c r="AZ558" i="14"/>
  <c r="G82" i="18" s="1"/>
  <c r="AX546" i="14"/>
  <c r="E70" i="18" s="1"/>
  <c r="BR555" i="14"/>
  <c r="Y79"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O553" i="14"/>
  <c r="V77" i="18" s="1"/>
  <c r="AX540" i="14"/>
  <c r="E64" i="18" s="1"/>
  <c r="BO527" i="14"/>
  <c r="V51" i="18" s="1"/>
  <c r="AW526" i="14"/>
  <c r="D50" i="18" s="1"/>
  <c r="AW530" i="14"/>
  <c r="D54" i="18" s="1"/>
  <c r="AW536" i="14"/>
  <c r="D60" i="18" s="1"/>
  <c r="AZ551" i="14"/>
  <c r="G75" i="18" s="1"/>
  <c r="BR564" i="14"/>
  <c r="Y88" i="18" s="1"/>
  <c r="AY564" i="14"/>
  <c r="F88" i="18" s="1"/>
  <c r="BO560" i="14"/>
  <c r="V84"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5" i="14"/>
  <c r="D49" i="18" s="1"/>
  <c r="AW527" i="14"/>
  <c r="D51" i="18" s="1"/>
  <c r="AW533" i="14"/>
  <c r="D57" i="18" s="1"/>
  <c r="AW537" i="14"/>
  <c r="D61" i="18" s="1"/>
  <c r="AW541" i="14"/>
  <c r="D65" i="18" s="1"/>
  <c r="BO564" i="14"/>
  <c r="V88" i="18" s="1"/>
  <c r="BR560" i="14"/>
  <c r="Y84" i="18" s="1"/>
  <c r="BO556" i="14"/>
  <c r="V80" i="18" s="1"/>
  <c r="AX551" i="14"/>
  <c r="E75" i="18" s="1"/>
  <c r="AY523" i="14"/>
  <c r="F47" i="18" s="1"/>
  <c r="AY527" i="14"/>
  <c r="F51" i="18" s="1"/>
  <c r="AZ556" i="14"/>
  <c r="G80" i="18" s="1"/>
  <c r="AW549" i="14"/>
  <c r="D73" i="18" s="1"/>
  <c r="AW556" i="14"/>
  <c r="D80" i="18" s="1"/>
  <c r="BR549" i="14"/>
  <c r="Y73" i="18" s="1"/>
  <c r="BR551" i="14"/>
  <c r="Y75" i="18" s="1"/>
  <c r="BR563" i="14"/>
  <c r="Y87" i="18" s="1"/>
  <c r="AW563" i="14"/>
  <c r="D87" i="18" s="1"/>
  <c r="BQ561" i="14"/>
  <c r="X85" i="18" s="1"/>
  <c r="AY561" i="14"/>
  <c r="F85" i="18" s="1"/>
  <c r="BQ559" i="14"/>
  <c r="X83" i="18" s="1"/>
  <c r="BR559" i="14"/>
  <c r="Y83" i="18" s="1"/>
  <c r="AX558" i="14"/>
  <c r="E82" i="18" s="1"/>
  <c r="AY557" i="14"/>
  <c r="F81" i="18" s="1"/>
  <c r="BR556" i="14"/>
  <c r="Y80" i="18" s="1"/>
  <c r="AZ549" i="14"/>
  <c r="G73" i="18" s="1"/>
  <c r="BQ548" i="14"/>
  <c r="X72" i="18" s="1"/>
  <c r="BO548" i="14"/>
  <c r="V72" i="18" s="1"/>
  <c r="AW546" i="14"/>
  <c r="D70" i="18" s="1"/>
  <c r="AX545" i="14"/>
  <c r="E69" i="18" s="1"/>
  <c r="BQ564" i="14"/>
  <c r="X88" i="18" s="1"/>
  <c r="BO563" i="14"/>
  <c r="V87"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N517" i="14"/>
  <c r="U41" i="18" s="1"/>
  <c r="BL517" i="14"/>
  <c r="S41" i="18" s="1"/>
  <c r="BF517" i="14"/>
  <c r="M41" i="18" s="1"/>
  <c r="BE517" i="14"/>
  <c r="L41" i="18" s="1"/>
  <c r="BD517" i="14"/>
  <c r="K41" i="18" s="1"/>
  <c r="BC517" i="14"/>
  <c r="J41" i="18" s="1"/>
  <c r="BB517" i="14"/>
  <c r="I41" i="18" s="1"/>
  <c r="BA517" i="14"/>
  <c r="H41" i="18" s="1"/>
  <c r="BN516" i="14"/>
  <c r="U40" i="18" s="1"/>
  <c r="BL516" i="14"/>
  <c r="S40" i="18" s="1"/>
  <c r="BF516" i="14"/>
  <c r="M40" i="18" s="1"/>
  <c r="BE516" i="14"/>
  <c r="L40" i="18" s="1"/>
  <c r="BD516" i="14"/>
  <c r="K40" i="18" s="1"/>
  <c r="BC516" i="14"/>
  <c r="J40" i="18" s="1"/>
  <c r="BB516" i="14"/>
  <c r="I40" i="18" s="1"/>
  <c r="BA516" i="14"/>
  <c r="H40" i="18" s="1"/>
  <c r="BM515" i="14"/>
  <c r="T39" i="18" s="1"/>
  <c r="BL515" i="14"/>
  <c r="S39" i="18" s="1"/>
  <c r="AY515" i="14"/>
  <c r="F39" i="18" s="1"/>
  <c r="BM514" i="14"/>
  <c r="T38" i="18" s="1"/>
  <c r="BI514" i="14"/>
  <c r="P38" i="18" s="1"/>
  <c r="AY514" i="14"/>
  <c r="F38" i="18" s="1"/>
  <c r="BN513" i="14"/>
  <c r="U37" i="18" s="1"/>
  <c r="BL513" i="14"/>
  <c r="S37" i="18" s="1"/>
  <c r="BF513" i="14"/>
  <c r="M37" i="18" s="1"/>
  <c r="BE513" i="14"/>
  <c r="L37" i="18" s="1"/>
  <c r="BD513" i="14"/>
  <c r="K37" i="18" s="1"/>
  <c r="BC513" i="14"/>
  <c r="J37" i="18" s="1"/>
  <c r="BB513" i="14"/>
  <c r="I37" i="18" s="1"/>
  <c r="BA513" i="14"/>
  <c r="H37" i="18" s="1"/>
  <c r="BN512" i="14"/>
  <c r="U36" i="18" s="1"/>
  <c r="BL512" i="14"/>
  <c r="S36" i="18" s="1"/>
  <c r="BF512" i="14"/>
  <c r="M36" i="18" s="1"/>
  <c r="BE512" i="14"/>
  <c r="L36" i="18" s="1"/>
  <c r="BD512" i="14"/>
  <c r="K36" i="18" s="1"/>
  <c r="BC512" i="14"/>
  <c r="J36" i="18" s="1"/>
  <c r="BB512" i="14"/>
  <c r="I36" i="18" s="1"/>
  <c r="BA512" i="14"/>
  <c r="H36" i="18" s="1"/>
  <c r="BF511" i="14"/>
  <c r="M35" i="18" s="1"/>
  <c r="BE511" i="14"/>
  <c r="L35" i="18" s="1"/>
  <c r="BD511" i="14"/>
  <c r="K35" i="18" s="1"/>
  <c r="BC511" i="14"/>
  <c r="J35" i="18" s="1"/>
  <c r="BB511" i="14"/>
  <c r="I35" i="18" s="1"/>
  <c r="BA511" i="14"/>
  <c r="H35" i="18" s="1"/>
  <c r="BN510" i="14"/>
  <c r="U34" i="18" s="1"/>
  <c r="AY510" i="14"/>
  <c r="F34" i="18" s="1"/>
  <c r="BP510" i="14"/>
  <c r="W34" i="18" s="1"/>
  <c r="BM509" i="14"/>
  <c r="T33" i="18" s="1"/>
  <c r="BH510" i="14"/>
  <c r="O34" i="18" s="1"/>
  <c r="BR513" i="14"/>
  <c r="Y37" i="18" s="1"/>
  <c r="AY509" i="14"/>
  <c r="F33" i="18" s="1"/>
  <c r="BH514" i="14"/>
  <c r="O38" i="18" s="1"/>
  <c r="BK512" i="14"/>
  <c r="R36" i="18" s="1"/>
  <c r="BH509" i="14"/>
  <c r="O33" i="18" s="1"/>
  <c r="AZ509" i="14"/>
  <c r="G33" i="18" s="1"/>
  <c r="BN507" i="14"/>
  <c r="U31" i="18" s="1"/>
  <c r="BL507" i="14"/>
  <c r="S31" i="18" s="1"/>
  <c r="BF507" i="14"/>
  <c r="M31" i="18" s="1"/>
  <c r="BE507" i="14"/>
  <c r="L31" i="18" s="1"/>
  <c r="BD507" i="14"/>
  <c r="K31" i="18" s="1"/>
  <c r="BC507" i="14"/>
  <c r="J31" i="18" s="1"/>
  <c r="BB507" i="14"/>
  <c r="I31" i="18" s="1"/>
  <c r="BA507" i="14"/>
  <c r="H31" i="18" s="1"/>
  <c r="BN506" i="14"/>
  <c r="U30" i="18" s="1"/>
  <c r="BL506" i="14"/>
  <c r="S30" i="18" s="1"/>
  <c r="BF506" i="14"/>
  <c r="M30" i="18" s="1"/>
  <c r="BE506" i="14"/>
  <c r="L30" i="18" s="1"/>
  <c r="BD506" i="14"/>
  <c r="K30" i="18" s="1"/>
  <c r="BC506" i="14"/>
  <c r="J30" i="18" s="1"/>
  <c r="BB506" i="14"/>
  <c r="I30" i="18" s="1"/>
  <c r="BA506" i="14"/>
  <c r="H30" i="18" s="1"/>
  <c r="BN505" i="14"/>
  <c r="U29" i="18" s="1"/>
  <c r="BM505" i="14"/>
  <c r="T29" i="18" s="1"/>
  <c r="BL505" i="14"/>
  <c r="S29" i="18" s="1"/>
  <c r="BF505" i="14"/>
  <c r="M29" i="18" s="1"/>
  <c r="BE505" i="14"/>
  <c r="L29" i="18" s="1"/>
  <c r="BD505" i="14"/>
  <c r="K29" i="18" s="1"/>
  <c r="BC505" i="14"/>
  <c r="J29" i="18" s="1"/>
  <c r="BB505" i="14"/>
  <c r="I29" i="18" s="1"/>
  <c r="BA505" i="14"/>
  <c r="H29" i="18" s="1"/>
  <c r="BN504" i="14"/>
  <c r="BM504" i="14" s="1"/>
  <c r="BL504" i="14"/>
  <c r="S28" i="18" s="1"/>
  <c r="BF504" i="14"/>
  <c r="M28" i="18" s="1"/>
  <c r="BE504" i="14"/>
  <c r="L28" i="18" s="1"/>
  <c r="BD504" i="14"/>
  <c r="K28" i="18" s="1"/>
  <c r="BC504" i="14"/>
  <c r="J28" i="18" s="1"/>
  <c r="BB504" i="14"/>
  <c r="I28" i="18" s="1"/>
  <c r="BA504" i="14"/>
  <c r="H28" i="18" s="1"/>
  <c r="BN503" i="14"/>
  <c r="U27" i="18" s="1"/>
  <c r="BL503" i="14"/>
  <c r="S27" i="18" s="1"/>
  <c r="BF503" i="14"/>
  <c r="M27" i="18" s="1"/>
  <c r="BE503" i="14"/>
  <c r="L27" i="18" s="1"/>
  <c r="BD503" i="14"/>
  <c r="K27" i="18" s="1"/>
  <c r="BC503" i="14"/>
  <c r="J27" i="18" s="1"/>
  <c r="BB503" i="14"/>
  <c r="I27" i="18" s="1"/>
  <c r="BA503" i="14"/>
  <c r="H27" i="18" s="1"/>
  <c r="BN502" i="14"/>
  <c r="U26" i="18" s="1"/>
  <c r="BL502" i="14"/>
  <c r="S26" i="18" s="1"/>
  <c r="BF502" i="14"/>
  <c r="M26" i="18" s="1"/>
  <c r="BE502" i="14"/>
  <c r="L26" i="18" s="1"/>
  <c r="BD502" i="14"/>
  <c r="K26" i="18" s="1"/>
  <c r="BC502" i="14"/>
  <c r="J26" i="18" s="1"/>
  <c r="BB502" i="14"/>
  <c r="I26" i="18" s="1"/>
  <c r="BA502" i="14"/>
  <c r="H26" i="18" s="1"/>
  <c r="BM501" i="14"/>
  <c r="T25" i="18" s="1"/>
  <c r="BI501" i="14"/>
  <c r="P25" i="18" s="1"/>
  <c r="AY501" i="14"/>
  <c r="F25" i="18" s="1"/>
  <c r="BN500" i="14"/>
  <c r="U24" i="18" s="1"/>
  <c r="BL500" i="14"/>
  <c r="S24" i="18" s="1"/>
  <c r="BF500" i="14"/>
  <c r="M24" i="18" s="1"/>
  <c r="BE500" i="14"/>
  <c r="L24" i="18" s="1"/>
  <c r="BD500" i="14"/>
  <c r="K24" i="18" s="1"/>
  <c r="BC500" i="14"/>
  <c r="J24" i="18" s="1"/>
  <c r="BB500" i="14"/>
  <c r="I24" i="18" s="1"/>
  <c r="BA500" i="14"/>
  <c r="H24" i="18" s="1"/>
  <c r="BP500" i="14"/>
  <c r="W24" i="18" s="1"/>
  <c r="BP499" i="14"/>
  <c r="W23" i="18" s="1"/>
  <c r="BN499" i="14"/>
  <c r="U23" i="18" s="1"/>
  <c r="BL499" i="14"/>
  <c r="S23" i="18" s="1"/>
  <c r="BF499" i="14"/>
  <c r="M23" i="18" s="1"/>
  <c r="BE499" i="14"/>
  <c r="L23" i="18" s="1"/>
  <c r="BD499" i="14"/>
  <c r="K23" i="18" s="1"/>
  <c r="BC499" i="14"/>
  <c r="J23" i="18" s="1"/>
  <c r="BB499" i="14"/>
  <c r="I23" i="18" s="1"/>
  <c r="BA499" i="14"/>
  <c r="H23" i="18" s="1"/>
  <c r="AX504" i="14"/>
  <c r="E28" i="18" s="1"/>
  <c r="BK504" i="14"/>
  <c r="R28" i="18" s="1"/>
  <c r="BK503" i="14"/>
  <c r="R27" i="18" s="1"/>
  <c r="BH501" i="14"/>
  <c r="O25" i="18" s="1"/>
  <c r="AX501" i="14"/>
  <c r="E25" i="18" s="1"/>
  <c r="BH499" i="14"/>
  <c r="O23" i="18" s="1"/>
  <c r="BT503" i="14"/>
  <c r="AG27" i="18" s="1"/>
  <c r="BT514" i="14"/>
  <c r="AG38" i="18" s="1"/>
  <c r="D38" i="18"/>
  <c r="BT504" i="14"/>
  <c r="AG28" i="18" s="1"/>
  <c r="BT509" i="14"/>
  <c r="AG33" i="18" s="1"/>
  <c r="BT506" i="14"/>
  <c r="AG30" i="18" s="1"/>
  <c r="BQ514" i="14"/>
  <c r="X38" i="18" s="1"/>
  <c r="BQ517" i="14"/>
  <c r="X41" i="18" s="1"/>
  <c r="BS509" i="14"/>
  <c r="Z33" i="18" s="1"/>
  <c r="BS501" i="14"/>
  <c r="Z25" i="18" s="1"/>
  <c r="BS506" i="14"/>
  <c r="Z30" i="18" s="1"/>
  <c r="BS514" i="14"/>
  <c r="Z38" i="18" s="1"/>
  <c r="BS517" i="14"/>
  <c r="Z41" i="18" s="1"/>
  <c r="AY517" i="14"/>
  <c r="F41" i="18" s="1"/>
  <c r="BK510" i="14"/>
  <c r="R34" i="18" s="1"/>
  <c r="BH517" i="14"/>
  <c r="O41" i="18" s="1"/>
  <c r="AZ515" i="14"/>
  <c r="G39" i="18" s="1"/>
  <c r="BK509" i="14"/>
  <c r="R33" i="18" s="1"/>
  <c r="BH511" i="14"/>
  <c r="O35" i="18" s="1"/>
  <c r="BH515" i="14"/>
  <c r="O39" i="18" s="1"/>
  <c r="BQ509" i="14"/>
  <c r="X33" i="18" s="1"/>
  <c r="AZ510" i="14"/>
  <c r="G34" i="18" s="1"/>
  <c r="BK511" i="14"/>
  <c r="R35" i="18" s="1"/>
  <c r="AZ514" i="14"/>
  <c r="G38" i="18" s="1"/>
  <c r="BK515" i="14"/>
  <c r="R39" i="18" s="1"/>
  <c r="AZ517" i="14"/>
  <c r="G41" i="18" s="1"/>
  <c r="BH512" i="14"/>
  <c r="O36" i="18" s="1"/>
  <c r="BK514" i="14"/>
  <c r="R38" i="18" s="1"/>
  <c r="BH516" i="14"/>
  <c r="O40" i="18" s="1"/>
  <c r="BK517" i="14"/>
  <c r="R41" i="18" s="1"/>
  <c r="AZ499" i="14"/>
  <c r="G23" i="18" s="1"/>
  <c r="BK499" i="14"/>
  <c r="R23" i="18" s="1"/>
  <c r="AZ506" i="14"/>
  <c r="G30" i="18" s="1"/>
  <c r="AZ501" i="14"/>
  <c r="G25" i="18" s="1"/>
  <c r="BK502" i="14"/>
  <c r="R26" i="18" s="1"/>
  <c r="BH504" i="14"/>
  <c r="O28" i="18" s="1"/>
  <c r="BK506" i="14"/>
  <c r="R30" i="18" s="1"/>
  <c r="BK501" i="14"/>
  <c r="R25" i="18" s="1"/>
  <c r="AX502" i="14"/>
  <c r="E26" i="18" s="1"/>
  <c r="AZ504" i="14"/>
  <c r="G28" i="18" s="1"/>
  <c r="AX506" i="14"/>
  <c r="E30" i="18" s="1"/>
  <c r="AZ502" i="14"/>
  <c r="G26" i="18" s="1"/>
  <c r="BH502" i="14"/>
  <c r="O26" i="18" s="1"/>
  <c r="BH506" i="14"/>
  <c r="O30" i="18" s="1"/>
  <c r="AV475" i="14"/>
  <c r="AV473" i="14"/>
  <c r="AV472" i="14"/>
  <c r="A7" i="14"/>
  <c r="AY421" i="14"/>
  <c r="AX421" i="14"/>
  <c r="AW421" i="14"/>
  <c r="AY420" i="14"/>
  <c r="AX420" i="14"/>
  <c r="AW420" i="14"/>
  <c r="A106" i="14"/>
  <c r="B43" i="14"/>
  <c r="BP497" i="14" s="1"/>
  <c r="W21" i="18" s="1"/>
  <c r="B40" i="14"/>
  <c r="AT484" i="14" s="1"/>
  <c r="A8" i="18" s="1"/>
  <c r="B34" i="14"/>
  <c r="AT482" i="14" s="1"/>
  <c r="A6" i="18" s="1"/>
  <c r="B31" i="14"/>
  <c r="BP483" i="14" s="1"/>
  <c r="W7" i="18" s="1"/>
  <c r="B28" i="14"/>
  <c r="BP482" i="14" s="1"/>
  <c r="W6" i="18" s="1"/>
  <c r="B25" i="14"/>
  <c r="BP491" i="14" s="1"/>
  <c r="W15" i="18" s="1"/>
  <c r="BP490" i="14"/>
  <c r="W14" i="18" s="1"/>
  <c r="BP489" i="14"/>
  <c r="W13" i="18" s="1"/>
  <c r="BN497" i="14"/>
  <c r="U21" i="18" s="1"/>
  <c r="BN496" i="14"/>
  <c r="U20" i="18" s="1"/>
  <c r="BN495" i="14"/>
  <c r="U19" i="18" s="1"/>
  <c r="BN494" i="14"/>
  <c r="U18" i="18" s="1"/>
  <c r="BN492" i="14"/>
  <c r="U16" i="18" s="1"/>
  <c r="BN491" i="14"/>
  <c r="U15" i="18" s="1"/>
  <c r="BN490" i="14"/>
  <c r="U14" i="18" s="1"/>
  <c r="BN489" i="14"/>
  <c r="U13" i="18" s="1"/>
  <c r="BL497" i="14"/>
  <c r="S21" i="18" s="1"/>
  <c r="BL496" i="14"/>
  <c r="S20" i="18" s="1"/>
  <c r="BL495" i="14"/>
  <c r="S19" i="18" s="1"/>
  <c r="BI494" i="14"/>
  <c r="P18" i="18" s="1"/>
  <c r="BI493" i="14"/>
  <c r="P17" i="18" s="1"/>
  <c r="BL492" i="14"/>
  <c r="S16" i="18" s="1"/>
  <c r="BL491" i="14"/>
  <c r="S15" i="18" s="1"/>
  <c r="BL490" i="14"/>
  <c r="S14" i="18" s="1"/>
  <c r="BL489" i="14"/>
  <c r="S13" i="18" s="1"/>
  <c r="BP480" i="14"/>
  <c r="W4" i="18" s="1"/>
  <c r="BN487" i="14"/>
  <c r="U11" i="18" s="1"/>
  <c r="BN486" i="14"/>
  <c r="U10" i="18" s="1"/>
  <c r="BN485" i="14"/>
  <c r="U9" i="18" s="1"/>
  <c r="BN484" i="14"/>
  <c r="U8" i="18" s="1"/>
  <c r="BN482" i="14"/>
  <c r="U6" i="18" s="1"/>
  <c r="BN481" i="14"/>
  <c r="U5" i="18" s="1"/>
  <c r="BN480" i="14"/>
  <c r="U4" i="18" s="1"/>
  <c r="BN479" i="14"/>
  <c r="U3" i="18" s="1"/>
  <c r="BL487" i="14"/>
  <c r="S11" i="18" s="1"/>
  <c r="BL486" i="14"/>
  <c r="S10" i="18" s="1"/>
  <c r="BL485" i="14"/>
  <c r="S9" i="18" s="1"/>
  <c r="BL484" i="14"/>
  <c r="S8" i="18" s="1"/>
  <c r="BL482" i="14"/>
  <c r="S6" i="18" s="1"/>
  <c r="BL481" i="14"/>
  <c r="S5" i="18" s="1"/>
  <c r="BL480" i="14"/>
  <c r="S4" i="18" s="1"/>
  <c r="BL479" i="14"/>
  <c r="S3" i="18" s="1"/>
  <c r="B67" i="14"/>
  <c r="BP511" i="14" s="1"/>
  <c r="W35" i="18" s="1"/>
  <c r="B70" i="14"/>
  <c r="AT500" i="14" s="1"/>
  <c r="A24" i="18" s="1"/>
  <c r="B76" i="14"/>
  <c r="AT502" i="14" s="1"/>
  <c r="A26" i="18" s="1"/>
  <c r="B79" i="14"/>
  <c r="AT503" i="14" s="1"/>
  <c r="A27" i="18" s="1"/>
  <c r="B82" i="14"/>
  <c r="AT504" i="14" s="1"/>
  <c r="A28" i="18" s="1"/>
  <c r="B85" i="14"/>
  <c r="AT505" i="14" s="1"/>
  <c r="A29" i="18" s="1"/>
  <c r="B88" i="14"/>
  <c r="AT506" i="14" s="1"/>
  <c r="A30" i="18" s="1"/>
  <c r="B91" i="14"/>
  <c r="AT507" i="14" s="1"/>
  <c r="A31" i="18" s="1"/>
  <c r="E53" i="14"/>
  <c r="B45" i="17" s="1"/>
  <c r="Q53" i="14"/>
  <c r="C45" i="17" s="1"/>
  <c r="E95" i="14"/>
  <c r="D45" i="17" s="1"/>
  <c r="Q95" i="14"/>
  <c r="E45" i="17" s="1"/>
  <c r="G58" i="14"/>
  <c r="S58" i="14"/>
  <c r="G100" i="14"/>
  <c r="S100" i="14"/>
  <c r="E54" i="14"/>
  <c r="B46" i="17" s="1"/>
  <c r="M53" i="14"/>
  <c r="M56" i="14" s="1"/>
  <c r="Q54" i="14"/>
  <c r="C46" i="17" s="1"/>
  <c r="Y53" i="14"/>
  <c r="Y56" i="14" s="1"/>
  <c r="M95" i="14"/>
  <c r="M98" i="14" s="1"/>
  <c r="Y95" i="14"/>
  <c r="BP479" i="14"/>
  <c r="W3" i="18" s="1"/>
  <c r="AX480" i="14"/>
  <c r="E4" i="18" s="1"/>
  <c r="AY480" i="14"/>
  <c r="F4" i="18" s="1"/>
  <c r="BA480" i="14"/>
  <c r="H4" i="18" s="1"/>
  <c r="BB480" i="14"/>
  <c r="I4" i="18" s="1"/>
  <c r="BC480" i="14"/>
  <c r="J4" i="18" s="1"/>
  <c r="BD480" i="14"/>
  <c r="K4" i="18" s="1"/>
  <c r="BE480" i="14"/>
  <c r="L4" i="18" s="1"/>
  <c r="BF480" i="14"/>
  <c r="M4" i="18" s="1"/>
  <c r="BH480" i="14"/>
  <c r="O4"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BA486" i="14"/>
  <c r="H10" i="18" s="1"/>
  <c r="BB486" i="14"/>
  <c r="I10" i="18" s="1"/>
  <c r="BC486" i="14"/>
  <c r="J10" i="18" s="1"/>
  <c r="BD486" i="14"/>
  <c r="K10" i="18" s="1"/>
  <c r="BE486" i="14"/>
  <c r="L10" i="18" s="1"/>
  <c r="BF486" i="14"/>
  <c r="M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BA489" i="14"/>
  <c r="H13" i="18" s="1"/>
  <c r="BB489" i="14"/>
  <c r="I13" i="18" s="1"/>
  <c r="BC489" i="14"/>
  <c r="J13" i="18" s="1"/>
  <c r="BD489" i="14"/>
  <c r="K13" i="18" s="1"/>
  <c r="BE489" i="14"/>
  <c r="L13" i="18" s="1"/>
  <c r="BF489" i="14"/>
  <c r="M13" i="18" s="1"/>
  <c r="BH489" i="14"/>
  <c r="O13" i="18" s="1"/>
  <c r="BK489" i="14"/>
  <c r="R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D17" i="18" s="1"/>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AX494" i="14"/>
  <c r="E18" i="18" s="1"/>
  <c r="AY494" i="14"/>
  <c r="F18" i="18" s="1"/>
  <c r="AZ494" i="14"/>
  <c r="G18" i="18" s="1"/>
  <c r="BH494" i="14"/>
  <c r="O18" i="18" s="1"/>
  <c r="BK494" i="14"/>
  <c r="R18" i="18" s="1"/>
  <c r="BR494" i="14"/>
  <c r="Y18" i="18" s="1"/>
  <c r="N43" i="14"/>
  <c r="AT495" i="14" s="1"/>
  <c r="A19" i="18" s="1"/>
  <c r="AW495" i="14"/>
  <c r="D19" i="18" s="1"/>
  <c r="AY495" i="14"/>
  <c r="F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522" i="14"/>
  <c r="G46" i="18" s="1"/>
  <c r="BQ522" i="14"/>
  <c r="X46" i="18" s="1"/>
  <c r="BR522" i="14"/>
  <c r="Y46" i="18" s="1"/>
  <c r="AZ523" i="14"/>
  <c r="G47" i="18" s="1"/>
  <c r="AZ524" i="14"/>
  <c r="G48" i="18" s="1"/>
  <c r="BR524" i="14"/>
  <c r="Y48"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BA533" i="14"/>
  <c r="H57" i="18" s="1"/>
  <c r="BB533" i="14"/>
  <c r="I57" i="18" s="1"/>
  <c r="BC533" i="14"/>
  <c r="J57" i="18" s="1"/>
  <c r="BD533" i="14"/>
  <c r="K57" i="18" s="1"/>
  <c r="BE533" i="14"/>
  <c r="L57" i="18" s="1"/>
  <c r="BF533" i="14"/>
  <c r="M57" i="18" s="1"/>
  <c r="BM533" i="14"/>
  <c r="T57" i="18" s="1"/>
  <c r="BN533" i="14"/>
  <c r="U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79" i="14"/>
  <c r="AT513" i="14" s="1"/>
  <c r="A37" i="18" s="1"/>
  <c r="N76" i="14"/>
  <c r="AT512" i="14" s="1"/>
  <c r="A36" i="18" s="1"/>
  <c r="N73" i="14"/>
  <c r="AT511" i="14" s="1"/>
  <c r="A35" i="18" s="1"/>
  <c r="N49" i="14"/>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K446" i="14"/>
  <c r="CT446" i="14" s="1"/>
  <c r="CJ446" i="14"/>
  <c r="CS446" i="14" s="1"/>
  <c r="CI446" i="14"/>
  <c r="CR446" i="14" s="1"/>
  <c r="CH446" i="14"/>
  <c r="CQ446" i="14" s="1"/>
  <c r="CJ445" i="14"/>
  <c r="CS445" i="14" s="1"/>
  <c r="CI445" i="14"/>
  <c r="CR445" i="14" s="1"/>
  <c r="CH445" i="14"/>
  <c r="CQ445" i="14" s="1"/>
  <c r="CK444" i="14"/>
  <c r="CT444" i="14" s="1"/>
  <c r="CJ444" i="14"/>
  <c r="CS444" i="14" s="1"/>
  <c r="CN444" i="14"/>
  <c r="CH444" i="14"/>
  <c r="CQ444" i="14" s="1"/>
  <c r="CK443" i="14"/>
  <c r="CT443" i="14" s="1"/>
  <c r="CJ443" i="14"/>
  <c r="CS443" i="14" s="1"/>
  <c r="CI443" i="14"/>
  <c r="CR443" i="14" s="1"/>
  <c r="CM443" i="14"/>
  <c r="CK442" i="14"/>
  <c r="CT442" i="14" s="1"/>
  <c r="CJ442" i="14"/>
  <c r="CS442" i="14" s="1"/>
  <c r="CI442" i="14"/>
  <c r="CR442" i="14" s="1"/>
  <c r="CH442" i="14"/>
  <c r="CQ442" i="14" s="1"/>
  <c r="CK441" i="14"/>
  <c r="CT441" i="14" s="1"/>
  <c r="CO441" i="14"/>
  <c r="CI441" i="14"/>
  <c r="CR441" i="14" s="1"/>
  <c r="CH441" i="14"/>
  <c r="CQ441" i="14" s="1"/>
  <c r="CP440" i="14"/>
  <c r="CJ440" i="14"/>
  <c r="CS440" i="14" s="1"/>
  <c r="CI440" i="14"/>
  <c r="CR440" i="14" s="1"/>
  <c r="CH440" i="14"/>
  <c r="CQ440" i="14" s="1"/>
  <c r="CP439" i="14"/>
  <c r="CJ439" i="14"/>
  <c r="CS439" i="14" s="1"/>
  <c r="CI439" i="14"/>
  <c r="CR439" i="14" s="1"/>
  <c r="CH439" i="14"/>
  <c r="CQ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I441" i="14"/>
  <c r="BN441" i="14" s="1"/>
  <c r="BH441" i="14"/>
  <c r="BM441"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39" i="14"/>
  <c r="BD439" i="14" s="1"/>
  <c r="AX446" i="14"/>
  <c r="BC446" i="14" s="1"/>
  <c r="AX445" i="14"/>
  <c r="BC445" i="14" s="1"/>
  <c r="AX444" i="14"/>
  <c r="BC444" i="14" s="1"/>
  <c r="AX443" i="14"/>
  <c r="BC443" i="14" s="1"/>
  <c r="AX442" i="14"/>
  <c r="BC442"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I58" i="14"/>
  <c r="J58" i="14"/>
  <c r="K58" i="14"/>
  <c r="H58" i="14"/>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A3" i="14"/>
  <c r="BK462" i="14"/>
  <c r="BJ462" i="14"/>
  <c r="BH462" i="14"/>
  <c r="AY434" i="14"/>
  <c r="AX434" i="14"/>
  <c r="AW434" i="14"/>
  <c r="A54" i="16"/>
  <c r="BI462" i="14"/>
  <c r="BT490" i="14"/>
  <c r="AG14" i="18" s="1"/>
  <c r="BT484" i="14"/>
  <c r="AG8" i="18" s="1"/>
  <c r="BT483" i="14"/>
  <c r="AG7" i="18" s="1"/>
  <c r="BH421" i="14"/>
  <c r="BT496" i="14"/>
  <c r="AG20" i="18" s="1"/>
  <c r="BT485" i="14"/>
  <c r="AG9" i="18" s="1"/>
  <c r="CP446" i="14"/>
  <c r="CP445" i="14"/>
  <c r="BR482" i="14"/>
  <c r="Y6" i="18" s="1"/>
  <c r="BR502" i="14"/>
  <c r="Y26" i="18" s="1"/>
  <c r="BR483" i="14"/>
  <c r="Y7" i="18" s="1"/>
  <c r="BR485" i="14"/>
  <c r="Y9" i="18" s="1"/>
  <c r="BQ497" i="14"/>
  <c r="X21" i="18" s="1"/>
  <c r="BS490" i="14"/>
  <c r="Z14" i="18" s="1"/>
  <c r="BS482" i="14"/>
  <c r="Z6" i="18" s="1"/>
  <c r="M96" i="14"/>
  <c r="D47" i="17" s="1"/>
  <c r="BI487" i="14"/>
  <c r="P11" i="18" s="1"/>
  <c r="BP487" i="14"/>
  <c r="W11" i="18" s="1"/>
  <c r="AT485" i="14"/>
  <c r="A9" i="18" s="1"/>
  <c r="BM485" i="14"/>
  <c r="T9" i="18" s="1"/>
  <c r="AV463" i="14"/>
  <c r="BR505" i="14"/>
  <c r="Y29" i="18" s="1"/>
  <c r="BI485" i="14"/>
  <c r="P9" i="18" s="1"/>
  <c r="BM493" i="14"/>
  <c r="T17" i="18" s="1"/>
  <c r="Y54" i="14"/>
  <c r="Y57" i="14" s="1"/>
  <c r="BI481" i="14"/>
  <c r="P5" i="18" s="1"/>
  <c r="BM481" i="14"/>
  <c r="T5" i="18" s="1"/>
  <c r="BP484" i="14"/>
  <c r="W8" i="18" s="1"/>
  <c r="BS496" i="14"/>
  <c r="Z20" i="18" s="1"/>
  <c r="BI486" i="14"/>
  <c r="P10" i="18" s="1"/>
  <c r="CM444" i="14"/>
  <c r="BS495" i="14"/>
  <c r="Z19" i="18" s="1"/>
  <c r="BS487" i="14"/>
  <c r="Z11" i="18" s="1"/>
  <c r="BS486" i="14"/>
  <c r="Z10" i="18" s="1"/>
  <c r="BI480" i="14"/>
  <c r="P4" i="18" s="1"/>
  <c r="BI484" i="14"/>
  <c r="P8" i="18" s="1"/>
  <c r="BI483" i="14"/>
  <c r="P7" i="18" s="1"/>
  <c r="BM483" i="14"/>
  <c r="T7" i="18" s="1"/>
  <c r="BM487" i="14"/>
  <c r="BM496" i="14"/>
  <c r="BQ493" i="14"/>
  <c r="X17" i="18" s="1"/>
  <c r="BR504" i="14"/>
  <c r="Y28" i="18" s="1"/>
  <c r="BR484" i="14"/>
  <c r="Y8" i="18" s="1"/>
  <c r="BR503" i="14"/>
  <c r="Y27" i="18" s="1"/>
  <c r="BM489" i="14"/>
  <c r="T13" i="18" s="1"/>
  <c r="BM486" i="14"/>
  <c r="T10" i="18" s="1"/>
  <c r="BP504" i="14"/>
  <c r="W28" i="18" s="1"/>
  <c r="BP517" i="14"/>
  <c r="W41" i="18" s="1"/>
  <c r="BP507" i="14"/>
  <c r="W31" i="18" s="1"/>
  <c r="BP496" i="14"/>
  <c r="W20" i="18" s="1"/>
  <c r="C47" i="17"/>
  <c r="BL422" i="14"/>
  <c r="G12" i="17" s="1"/>
  <c r="AY513" i="14" l="1"/>
  <c r="F37" i="18" s="1"/>
  <c r="BQ535" i="14"/>
  <c r="X59" i="18" s="1"/>
  <c r="BT510" i="14"/>
  <c r="AG34" i="18" s="1"/>
  <c r="AW547" i="14"/>
  <c r="D71" i="18" s="1"/>
  <c r="AY528" i="14"/>
  <c r="F52" i="18" s="1"/>
  <c r="AX538" i="14"/>
  <c r="E62" i="18" s="1"/>
  <c r="AX539" i="14"/>
  <c r="E63" i="18" s="1"/>
  <c r="C88" i="18"/>
  <c r="BT558" i="14"/>
  <c r="AG82" i="18" s="1"/>
  <c r="C73" i="18"/>
  <c r="BR536" i="14"/>
  <c r="Y60" i="18" s="1"/>
  <c r="BO506" i="14"/>
  <c r="V30" i="18" s="1"/>
  <c r="BO528" i="14"/>
  <c r="V52" i="18" s="1"/>
  <c r="AX552" i="14"/>
  <c r="E76" i="18" s="1"/>
  <c r="AX557" i="14"/>
  <c r="E81" i="18" s="1"/>
  <c r="BT539" i="14"/>
  <c r="AG63" i="18" s="1"/>
  <c r="B156" i="14"/>
  <c r="AT545" i="14" s="1"/>
  <c r="A69" i="18" s="1"/>
  <c r="N115" i="14"/>
  <c r="AT533" i="14" s="1"/>
  <c r="A57" i="18" s="1"/>
  <c r="AY524" i="14"/>
  <c r="F48" i="18" s="1"/>
  <c r="BO503" i="14"/>
  <c r="V27" i="18" s="1"/>
  <c r="AY549" i="14"/>
  <c r="F73" i="18" s="1"/>
  <c r="BT527" i="14"/>
  <c r="AG51" i="18" s="1"/>
  <c r="B118" i="14"/>
  <c r="AT523" i="14" s="1"/>
  <c r="A47" i="18" s="1"/>
  <c r="BR422" i="14"/>
  <c r="BM507" i="14"/>
  <c r="T31" i="18" s="1"/>
  <c r="AZ547" i="14"/>
  <c r="G71" i="18" s="1"/>
  <c r="BO499" i="14"/>
  <c r="V23" i="18" s="1"/>
  <c r="BO530" i="14"/>
  <c r="V54" i="18" s="1"/>
  <c r="AZ564" i="14"/>
  <c r="G88" i="18" s="1"/>
  <c r="BT526" i="14"/>
  <c r="AG50" i="18" s="1"/>
  <c r="B121" i="14"/>
  <c r="AT524" i="14" s="1"/>
  <c r="A48" i="18" s="1"/>
  <c r="BS497" i="14"/>
  <c r="Z21" i="18" s="1"/>
  <c r="BM482" i="14"/>
  <c r="T6" i="18" s="1"/>
  <c r="CM441" i="14"/>
  <c r="BM516" i="14"/>
  <c r="T40" i="18" s="1"/>
  <c r="AW513" i="14"/>
  <c r="BT513" i="14" s="1"/>
  <c r="AG37" i="18" s="1"/>
  <c r="B159" i="14"/>
  <c r="AT546" i="14" s="1"/>
  <c r="A70" i="18" s="1"/>
  <c r="N118" i="14"/>
  <c r="AT534" i="14" s="1"/>
  <c r="A58" i="18" s="1"/>
  <c r="AW524" i="14"/>
  <c r="D48" i="18" s="1"/>
  <c r="AY560" i="14"/>
  <c r="F84" i="18" s="1"/>
  <c r="C83" i="18"/>
  <c r="N121" i="14"/>
  <c r="AT535" i="14" s="1"/>
  <c r="A59" i="18" s="1"/>
  <c r="B124" i="14"/>
  <c r="AT525" i="14" s="1"/>
  <c r="A49" i="18" s="1"/>
  <c r="BQ534" i="14"/>
  <c r="X58" i="18" s="1"/>
  <c r="BT551" i="14"/>
  <c r="AG75" i="18" s="1"/>
  <c r="C84" i="18"/>
  <c r="B162" i="14"/>
  <c r="AT547" i="14" s="1"/>
  <c r="A71" i="18" s="1"/>
  <c r="B153" i="14"/>
  <c r="AT544" i="14" s="1"/>
  <c r="A68" i="18" s="1"/>
  <c r="N124" i="14"/>
  <c r="AT536" i="14" s="1"/>
  <c r="A60" i="18" s="1"/>
  <c r="B115" i="14"/>
  <c r="AT522" i="14" s="1"/>
  <c r="A46" i="18" s="1"/>
  <c r="BK513" i="14"/>
  <c r="R37" i="18" s="1"/>
  <c r="BR547" i="14"/>
  <c r="Y71" i="18" s="1"/>
  <c r="BQ547" i="14"/>
  <c r="X71" i="18" s="1"/>
  <c r="BQ545" i="14"/>
  <c r="X69" i="18" s="1"/>
  <c r="BR544" i="14"/>
  <c r="Y68" i="18" s="1"/>
  <c r="AY546" i="14"/>
  <c r="F70" i="18" s="1"/>
  <c r="AZ546" i="14"/>
  <c r="G70" i="18" s="1"/>
  <c r="BQ546" i="14"/>
  <c r="X70" i="18" s="1"/>
  <c r="BO546" i="14"/>
  <c r="V70" i="18" s="1"/>
  <c r="BR546" i="14"/>
  <c r="Y70" i="18" s="1"/>
  <c r="BR545" i="14"/>
  <c r="Y69" i="18" s="1"/>
  <c r="AW544" i="14"/>
  <c r="D68" i="18" s="1"/>
  <c r="AY544" i="14"/>
  <c r="F68" i="18" s="1"/>
  <c r="AZ544" i="14"/>
  <c r="G68" i="18" s="1"/>
  <c r="BQ544" i="14"/>
  <c r="X68" i="18" s="1"/>
  <c r="AW535" i="14"/>
  <c r="D59" i="18" s="1"/>
  <c r="AZ533" i="14"/>
  <c r="G57" i="18" s="1"/>
  <c r="BR533" i="14"/>
  <c r="Y57" i="18" s="1"/>
  <c r="AY533" i="14"/>
  <c r="F57" i="18" s="1"/>
  <c r="BO533" i="14"/>
  <c r="V57" i="18" s="1"/>
  <c r="BQ533" i="14"/>
  <c r="X57" i="18" s="1"/>
  <c r="BR525" i="14"/>
  <c r="Y49" i="18" s="1"/>
  <c r="BQ525" i="14"/>
  <c r="X49" i="18" s="1"/>
  <c r="AZ525" i="14"/>
  <c r="G49" i="18" s="1"/>
  <c r="AY525" i="14"/>
  <c r="F49" i="18" s="1"/>
  <c r="AX524" i="14"/>
  <c r="E48" i="18" s="1"/>
  <c r="BQ524" i="14"/>
  <c r="X48" i="18" s="1"/>
  <c r="BR523" i="14"/>
  <c r="Y47" i="18" s="1"/>
  <c r="BQ523" i="14"/>
  <c r="X47" i="18" s="1"/>
  <c r="AW522" i="14"/>
  <c r="D46" i="18" s="1"/>
  <c r="Y96" i="14"/>
  <c r="E47" i="17" s="1"/>
  <c r="CA444" i="14"/>
  <c r="CP444" i="14"/>
  <c r="BS513" i="14"/>
  <c r="Z37" i="18" s="1"/>
  <c r="BY509" i="14"/>
  <c r="AX513" i="14"/>
  <c r="E37" i="18" s="1"/>
  <c r="CP443" i="14"/>
  <c r="CP448" i="14" s="1"/>
  <c r="BO513" i="14"/>
  <c r="V37" i="18" s="1"/>
  <c r="D37" i="18"/>
  <c r="AZ513" i="14"/>
  <c r="G37" i="18" s="1"/>
  <c r="BH513" i="14"/>
  <c r="O37" i="18" s="1"/>
  <c r="CA442" i="14"/>
  <c r="AW512" i="14"/>
  <c r="D36" i="18" s="1"/>
  <c r="BO512" i="14"/>
  <c r="V36" i="18" s="1"/>
  <c r="AZ512" i="14"/>
  <c r="G36" i="18" s="1"/>
  <c r="BT512" i="14"/>
  <c r="AG36" i="18" s="1"/>
  <c r="AY512" i="14"/>
  <c r="F36" i="18" s="1"/>
  <c r="Q98" i="14"/>
  <c r="BI511" i="14"/>
  <c r="P35" i="18" s="1"/>
  <c r="BM511" i="14"/>
  <c r="T35" i="18" s="1"/>
  <c r="CP441" i="14"/>
  <c r="AZ511" i="14"/>
  <c r="G35" i="18" s="1"/>
  <c r="BO511" i="14"/>
  <c r="V35" i="18" s="1"/>
  <c r="CE441" i="14"/>
  <c r="Q99" i="14"/>
  <c r="Y98" i="14"/>
  <c r="BS510" i="14"/>
  <c r="Z34" i="18" s="1"/>
  <c r="AZ421" i="14"/>
  <c r="X97" i="14" s="1"/>
  <c r="AY516" i="14"/>
  <c r="F40" i="18" s="1"/>
  <c r="BO507" i="14"/>
  <c r="V31" i="18" s="1"/>
  <c r="BS507" i="14"/>
  <c r="Z31" i="18" s="1"/>
  <c r="BK507" i="14"/>
  <c r="R31" i="18" s="1"/>
  <c r="AW507" i="14"/>
  <c r="BT507" i="14" s="1"/>
  <c r="AG31" i="18" s="1"/>
  <c r="AZ507" i="14"/>
  <c r="G31" i="18" s="1"/>
  <c r="BI506" i="14"/>
  <c r="AY506" i="14"/>
  <c r="F30" i="18" s="1"/>
  <c r="CO445" i="14"/>
  <c r="BH505" i="14"/>
  <c r="O29" i="18" s="1"/>
  <c r="BI515" i="14"/>
  <c r="P39" i="18" s="1"/>
  <c r="BZ445" i="14"/>
  <c r="BS504" i="14"/>
  <c r="Z28" i="18" s="1"/>
  <c r="BI504" i="14"/>
  <c r="P28" i="18" s="1"/>
  <c r="BO504" i="14"/>
  <c r="V28" i="18" s="1"/>
  <c r="AW504" i="14"/>
  <c r="D28" i="18" s="1"/>
  <c r="AY504" i="14"/>
  <c r="F28" i="18" s="1"/>
  <c r="CO444" i="14"/>
  <c r="BZ444" i="14"/>
  <c r="BM503" i="14"/>
  <c r="BY499" i="14"/>
  <c r="I40" i="17" s="1"/>
  <c r="CO443" i="14"/>
  <c r="AZ503" i="14"/>
  <c r="G27" i="18" s="1"/>
  <c r="AX503" i="14"/>
  <c r="E27" i="18" s="1"/>
  <c r="AW503" i="14"/>
  <c r="D27" i="18" s="1"/>
  <c r="BH503" i="14"/>
  <c r="O27" i="18" s="1"/>
  <c r="AY503" i="14"/>
  <c r="F27" i="18" s="1"/>
  <c r="BI513" i="14"/>
  <c r="P37" i="18" s="1"/>
  <c r="BI502" i="14"/>
  <c r="P26" i="18" s="1"/>
  <c r="AW502" i="14"/>
  <c r="BT502" i="14" s="1"/>
  <c r="AG26" i="18" s="1"/>
  <c r="AY502" i="14"/>
  <c r="F26" i="18" s="1"/>
  <c r="BZ442" i="14"/>
  <c r="E98" i="14"/>
  <c r="AZ420" i="14"/>
  <c r="L97" i="14" s="1"/>
  <c r="D25" i="18"/>
  <c r="BZ441" i="14"/>
  <c r="E99" i="14"/>
  <c r="M99" i="14" s="1"/>
  <c r="BH500" i="14"/>
  <c r="O24" i="18" s="1"/>
  <c r="S34" i="18"/>
  <c r="BO500" i="14"/>
  <c r="V24" i="18" s="1"/>
  <c r="AX500" i="14"/>
  <c r="E24" i="18" s="1"/>
  <c r="AY500" i="14"/>
  <c r="F24" i="18" s="1"/>
  <c r="AW500" i="14"/>
  <c r="BT500" i="14" s="1"/>
  <c r="AG24" i="18" s="1"/>
  <c r="CO440" i="14"/>
  <c r="AZ500" i="14"/>
  <c r="G24" i="18" s="1"/>
  <c r="BK500" i="14"/>
  <c r="R24" i="18" s="1"/>
  <c r="BZ440" i="14"/>
  <c r="AT499" i="14"/>
  <c r="A23" i="18" s="1"/>
  <c r="S33" i="18"/>
  <c r="AX499" i="14"/>
  <c r="E23" i="18" s="1"/>
  <c r="BM499" i="14"/>
  <c r="T23" i="18" s="1"/>
  <c r="AW499" i="14"/>
  <c r="AY499" i="14"/>
  <c r="F23" i="18" s="1"/>
  <c r="CD439" i="14"/>
  <c r="CO439" i="14"/>
  <c r="BS492" i="14"/>
  <c r="Z16" i="18" s="1"/>
  <c r="BY489" i="14"/>
  <c r="H40" i="17" s="1"/>
  <c r="AZ419" i="14"/>
  <c r="X55" i="14" s="1"/>
  <c r="BM420" i="14" s="1"/>
  <c r="Q57" i="14"/>
  <c r="BU419" i="14" s="1"/>
  <c r="Q56" i="14"/>
  <c r="BI495" i="14"/>
  <c r="P19" i="18" s="1"/>
  <c r="AY422" i="14"/>
  <c r="G37" i="17" s="1"/>
  <c r="AW422" i="14"/>
  <c r="G35" i="17" s="1"/>
  <c r="BO496" i="14"/>
  <c r="V20" i="18" s="1"/>
  <c r="BY446" i="14"/>
  <c r="CN446" i="14"/>
  <c r="AZ495" i="14"/>
  <c r="G19" i="18" s="1"/>
  <c r="BO495" i="14"/>
  <c r="V19" i="18" s="1"/>
  <c r="BT495" i="14"/>
  <c r="AG19" i="18" s="1"/>
  <c r="AX495" i="14"/>
  <c r="E19" i="18" s="1"/>
  <c r="BY445" i="14"/>
  <c r="D18" i="18"/>
  <c r="BS494" i="14"/>
  <c r="Z18" i="18" s="1"/>
  <c r="CN443" i="14"/>
  <c r="BS493" i="14"/>
  <c r="Z17" i="18" s="1"/>
  <c r="BY443" i="14"/>
  <c r="CN442" i="14"/>
  <c r="BO492" i="14"/>
  <c r="V16" i="18" s="1"/>
  <c r="BS483" i="14"/>
  <c r="Z7" i="18" s="1"/>
  <c r="BR481" i="14"/>
  <c r="Y5" i="18" s="1"/>
  <c r="BR501" i="14"/>
  <c r="Y25" i="18" s="1"/>
  <c r="AZ418" i="14"/>
  <c r="L55" i="14" s="1"/>
  <c r="BR500" i="14"/>
  <c r="Y24" i="18" s="1"/>
  <c r="E56" i="14"/>
  <c r="BM480" i="14"/>
  <c r="T4" i="18" s="1"/>
  <c r="BR480" i="14"/>
  <c r="Y4" i="18" s="1"/>
  <c r="BY479" i="14"/>
  <c r="G40" i="17" s="1"/>
  <c r="BM479" i="14"/>
  <c r="T3" i="18" s="1"/>
  <c r="AX491" i="14"/>
  <c r="E15" i="18" s="1"/>
  <c r="CN439" i="14"/>
  <c r="AZ491" i="14"/>
  <c r="G15" i="18" s="1"/>
  <c r="AY491" i="14"/>
  <c r="F15" i="18" s="1"/>
  <c r="BS491" i="14"/>
  <c r="Z15" i="18" s="1"/>
  <c r="BO491" i="14"/>
  <c r="V15" i="18" s="1"/>
  <c r="BY441" i="14"/>
  <c r="AZ489" i="14"/>
  <c r="G13" i="18" s="1"/>
  <c r="BS489" i="14"/>
  <c r="Z13" i="18" s="1"/>
  <c r="AY489" i="14"/>
  <c r="F13" i="18" s="1"/>
  <c r="AX489" i="14"/>
  <c r="E13" i="18" s="1"/>
  <c r="BO489" i="14"/>
  <c r="V13" i="18" s="1"/>
  <c r="BM495" i="14"/>
  <c r="T19" i="18" s="1"/>
  <c r="BR515" i="14"/>
  <c r="Y39" i="18" s="1"/>
  <c r="BS485" i="14"/>
  <c r="Z9" i="18" s="1"/>
  <c r="BO485" i="14"/>
  <c r="V9" i="18" s="1"/>
  <c r="BX445" i="14"/>
  <c r="BR496" i="14"/>
  <c r="Y20" i="18" s="1"/>
  <c r="BR517" i="14"/>
  <c r="Y41" i="18" s="1"/>
  <c r="BR506" i="14"/>
  <c r="Y30" i="18" s="1"/>
  <c r="AZ486" i="14"/>
  <c r="G10" i="18" s="1"/>
  <c r="AY486" i="14"/>
  <c r="F10" i="18" s="1"/>
  <c r="AX486" i="14"/>
  <c r="E10" i="18" s="1"/>
  <c r="AW486" i="14"/>
  <c r="D10" i="18" s="1"/>
  <c r="BK486" i="14"/>
  <c r="R10" i="18" s="1"/>
  <c r="CB446" i="14"/>
  <c r="BH486" i="14"/>
  <c r="O10" i="18" s="1"/>
  <c r="BM497" i="14"/>
  <c r="T21" i="18" s="1"/>
  <c r="BI497" i="14"/>
  <c r="P21" i="18" s="1"/>
  <c r="BO487" i="14"/>
  <c r="V11" i="18" s="1"/>
  <c r="BM484" i="14"/>
  <c r="T8" i="18" s="1"/>
  <c r="BS484" i="14"/>
  <c r="Z8" i="18" s="1"/>
  <c r="BO484" i="14"/>
  <c r="V8" i="18" s="1"/>
  <c r="BX444" i="14"/>
  <c r="BR514" i="14"/>
  <c r="Y38" i="18" s="1"/>
  <c r="BX443" i="14"/>
  <c r="BR512" i="14"/>
  <c r="Y36" i="18" s="1"/>
  <c r="AZ482" i="14"/>
  <c r="G6" i="18" s="1"/>
  <c r="BX442" i="14"/>
  <c r="BI492" i="14"/>
  <c r="AY482" i="14"/>
  <c r="F6" i="18" s="1"/>
  <c r="BR511" i="14"/>
  <c r="Y35" i="18" s="1"/>
  <c r="AY481" i="14"/>
  <c r="F5" i="18" s="1"/>
  <c r="AX481" i="14"/>
  <c r="E5" i="18" s="1"/>
  <c r="AW481" i="14"/>
  <c r="BS481" i="14"/>
  <c r="Z5" i="18" s="1"/>
  <c r="AW480" i="14"/>
  <c r="D4" i="18" s="1"/>
  <c r="BR510" i="14"/>
  <c r="Y34" i="18" s="1"/>
  <c r="BS480" i="14"/>
  <c r="Z4" i="18" s="1"/>
  <c r="CM440" i="14"/>
  <c r="BK480" i="14"/>
  <c r="R4" i="18" s="1"/>
  <c r="BM490" i="14"/>
  <c r="T14" i="18" s="1"/>
  <c r="BO480" i="14"/>
  <c r="V4" i="18" s="1"/>
  <c r="AZ480" i="14"/>
  <c r="G4" i="18" s="1"/>
  <c r="BH419" i="14"/>
  <c r="BP501" i="14"/>
  <c r="W25" i="18" s="1"/>
  <c r="BP481" i="14"/>
  <c r="W5" i="18" s="1"/>
  <c r="AT479" i="14"/>
  <c r="A3" i="18" s="1"/>
  <c r="M54" i="14"/>
  <c r="B47" i="17" s="1"/>
  <c r="E57" i="14"/>
  <c r="M57" i="14" s="1"/>
  <c r="BS479" i="14"/>
  <c r="Z3" i="18" s="1"/>
  <c r="BI479" i="14"/>
  <c r="P3" i="18" s="1"/>
  <c r="BK479" i="14"/>
  <c r="R3" i="18" s="1"/>
  <c r="BR489" i="14"/>
  <c r="Y13" i="18" s="1"/>
  <c r="BH479" i="14"/>
  <c r="O3" i="18" s="1"/>
  <c r="BR499" i="14"/>
  <c r="Y23" i="18" s="1"/>
  <c r="AZ479" i="14"/>
  <c r="G3" i="18" s="1"/>
  <c r="BR479" i="14"/>
  <c r="Y3" i="18" s="1"/>
  <c r="AY479" i="14"/>
  <c r="F3" i="18" s="1"/>
  <c r="AX479" i="14"/>
  <c r="E3" i="18" s="1"/>
  <c r="BR509" i="14"/>
  <c r="Y33" i="18" s="1"/>
  <c r="AW479" i="14"/>
  <c r="D3" i="18" s="1"/>
  <c r="BP516" i="14"/>
  <c r="W40" i="18" s="1"/>
  <c r="BP506" i="14"/>
  <c r="W30" i="18" s="1"/>
  <c r="BP486" i="14"/>
  <c r="W10" i="18" s="1"/>
  <c r="BO418" i="14"/>
  <c r="BO422" i="14" s="1"/>
  <c r="AT481" i="14"/>
  <c r="A5" i="18" s="1"/>
  <c r="BP502" i="14"/>
  <c r="W26" i="18" s="1"/>
  <c r="BT418" i="14"/>
  <c r="BT422" i="14" s="1"/>
  <c r="BP495" i="14"/>
  <c r="W19" i="18" s="1"/>
  <c r="BJ418" i="14"/>
  <c r="BJ422" i="14" s="1"/>
  <c r="AT480" i="14"/>
  <c r="A4" i="18" s="1"/>
  <c r="BP493" i="14"/>
  <c r="W17" i="18" s="1"/>
  <c r="BP492" i="14"/>
  <c r="W16" i="18" s="1"/>
  <c r="BM418" i="14"/>
  <c r="BM422" i="14" s="1"/>
  <c r="BP512" i="14"/>
  <c r="W36" i="18" s="1"/>
  <c r="BC418" i="14"/>
  <c r="BU418" i="14"/>
  <c r="BU422" i="14" s="1"/>
  <c r="BD418" i="14"/>
  <c r="BP515" i="14"/>
  <c r="W39" i="18" s="1"/>
  <c r="BN418" i="14"/>
  <c r="BN422" i="14" s="1"/>
  <c r="BP513" i="14"/>
  <c r="W37" i="18" s="1"/>
  <c r="BI418" i="14"/>
  <c r="BP503" i="14"/>
  <c r="W27" i="18" s="1"/>
  <c r="AC71" i="18"/>
  <c r="AC31" i="18"/>
  <c r="AC27" i="18"/>
  <c r="AC21" i="18"/>
  <c r="AC14" i="18"/>
  <c r="AC9" i="18"/>
  <c r="AC76" i="18"/>
  <c r="AC51" i="18"/>
  <c r="AC22" i="18"/>
  <c r="AC19" i="18"/>
  <c r="AC62" i="18"/>
  <c r="AC55" i="18"/>
  <c r="AC46" i="18"/>
  <c r="AC42" i="18"/>
  <c r="AC35" i="18"/>
  <c r="AC34" i="18"/>
  <c r="AC32" i="18"/>
  <c r="AC29" i="18"/>
  <c r="AC69" i="18"/>
  <c r="AC57" i="18"/>
  <c r="AC39" i="18"/>
  <c r="AC10" i="18"/>
  <c r="AC75" i="18"/>
  <c r="AC72" i="18"/>
  <c r="AC66" i="18"/>
  <c r="AC26" i="18"/>
  <c r="AC23" i="18"/>
  <c r="AC16" i="18"/>
  <c r="AC13" i="18"/>
  <c r="AC33" i="18"/>
  <c r="AC30" i="18"/>
  <c r="AC20" i="18"/>
  <c r="AC17" i="18"/>
  <c r="AC68" i="18"/>
  <c r="AC65" i="18"/>
  <c r="AC60" i="18"/>
  <c r="AC53" i="18"/>
  <c r="AC49" i="18"/>
  <c r="AC43" i="18"/>
  <c r="AC24" i="18"/>
  <c r="AC11" i="18"/>
  <c r="AC8" i="18"/>
  <c r="T28" i="18"/>
  <c r="BQ504" i="14"/>
  <c r="X28" i="18" s="1"/>
  <c r="AX422" i="14"/>
  <c r="G36" i="17" s="1"/>
  <c r="Y99" i="14"/>
  <c r="BR486" i="14"/>
  <c r="Y10" i="18" s="1"/>
  <c r="CM442" i="14"/>
  <c r="CO446" i="14"/>
  <c r="BQ515" i="14"/>
  <c r="X39" i="18" s="1"/>
  <c r="BS512" i="14"/>
  <c r="Z36" i="18" s="1"/>
  <c r="BM517" i="14"/>
  <c r="T41" i="18" s="1"/>
  <c r="BO523" i="14"/>
  <c r="V47" i="18" s="1"/>
  <c r="BO482" i="14"/>
  <c r="V6" i="18" s="1"/>
  <c r="AX531" i="14"/>
  <c r="E55" i="18" s="1"/>
  <c r="BR562" i="14"/>
  <c r="Y86" i="18" s="1"/>
  <c r="AW550" i="14"/>
  <c r="D74" i="18" s="1"/>
  <c r="AW562" i="14"/>
  <c r="D86" i="18" s="1"/>
  <c r="BT545" i="14"/>
  <c r="AG69" i="18" s="1"/>
  <c r="BT524" i="14"/>
  <c r="AG48" i="18" s="1"/>
  <c r="C55" i="18"/>
  <c r="BB448" i="14"/>
  <c r="BO448" i="14"/>
  <c r="CN440" i="14"/>
  <c r="BI496" i="14"/>
  <c r="P20" i="18" s="1"/>
  <c r="BM494" i="14"/>
  <c r="T18" i="18" s="1"/>
  <c r="AZ505" i="14"/>
  <c r="G29" i="18" s="1"/>
  <c r="BS502" i="14"/>
  <c r="Z26" i="18" s="1"/>
  <c r="BI507" i="14"/>
  <c r="P31" i="18" s="1"/>
  <c r="BO525" i="14"/>
  <c r="V49" i="18" s="1"/>
  <c r="AX553" i="14"/>
  <c r="E77" i="18" s="1"/>
  <c r="AX529" i="14"/>
  <c r="E53" i="18" s="1"/>
  <c r="BT534" i="14"/>
  <c r="AG58" i="18" s="1"/>
  <c r="C58" i="18"/>
  <c r="BO562" i="14"/>
  <c r="V86" i="18" s="1"/>
  <c r="AX563" i="14"/>
  <c r="E87" i="18" s="1"/>
  <c r="BT541" i="14"/>
  <c r="AG65" i="18" s="1"/>
  <c r="U28" i="18"/>
  <c r="CO442" i="14"/>
  <c r="BI489" i="14"/>
  <c r="P13" i="18" s="1"/>
  <c r="BQ501" i="14"/>
  <c r="X25" i="18" s="1"/>
  <c r="BI503" i="14"/>
  <c r="P27" i="18" s="1"/>
  <c r="BI505" i="14"/>
  <c r="P30" i="18"/>
  <c r="BI512" i="14"/>
  <c r="P36" i="18" s="1"/>
  <c r="AW540" i="14"/>
  <c r="D64" i="18" s="1"/>
  <c r="AY547" i="14"/>
  <c r="F71" i="18" s="1"/>
  <c r="BT548" i="14"/>
  <c r="AG72" i="18" s="1"/>
  <c r="C72" i="18"/>
  <c r="BO558" i="14"/>
  <c r="V82" i="18" s="1"/>
  <c r="BT563" i="14"/>
  <c r="AG87" i="18" s="1"/>
  <c r="AW531" i="14"/>
  <c r="D55" i="18" s="1"/>
  <c r="BT528" i="14"/>
  <c r="AG52" i="18" s="1"/>
  <c r="C52" i="18"/>
  <c r="BT537" i="14"/>
  <c r="AG61" i="18" s="1"/>
  <c r="C79" i="18"/>
  <c r="BR487" i="14"/>
  <c r="Y11" i="18" s="1"/>
  <c r="CP442" i="14"/>
  <c r="CN445" i="14"/>
  <c r="BP494" i="14"/>
  <c r="W18" i="18" s="1"/>
  <c r="BP514" i="14"/>
  <c r="W38" i="18" s="1"/>
  <c r="BS500" i="14"/>
  <c r="Z24" i="18" s="1"/>
  <c r="BM512" i="14"/>
  <c r="T36" i="18" s="1"/>
  <c r="AY531" i="14"/>
  <c r="F55" i="18" s="1"/>
  <c r="AW529" i="14"/>
  <c r="D53" i="18" s="1"/>
  <c r="AX507" i="14"/>
  <c r="E31" i="18" s="1"/>
  <c r="BO505" i="14"/>
  <c r="V29" i="18" s="1"/>
  <c r="AW548" i="14"/>
  <c r="D72" i="18" s="1"/>
  <c r="BO526" i="14"/>
  <c r="V50" i="18" s="1"/>
  <c r="AX541" i="14"/>
  <c r="E65" i="18" s="1"/>
  <c r="AY545" i="14"/>
  <c r="F69" i="18" s="1"/>
  <c r="AX559" i="14"/>
  <c r="E83" i="18" s="1"/>
  <c r="BX419" i="14"/>
  <c r="BQ487" i="14"/>
  <c r="X11" i="18" s="1"/>
  <c r="CM445" i="14"/>
  <c r="BI490" i="14"/>
  <c r="BM502" i="14"/>
  <c r="T26" i="18" s="1"/>
  <c r="BM506" i="14"/>
  <c r="T30" i="18" s="1"/>
  <c r="BM513" i="14"/>
  <c r="T37" i="18" s="1"/>
  <c r="BO550" i="14"/>
  <c r="V74" i="18" s="1"/>
  <c r="AZ562" i="14"/>
  <c r="G86" i="18" s="1"/>
  <c r="BH507" i="14"/>
  <c r="O31" i="18" s="1"/>
  <c r="AW511" i="14"/>
  <c r="AW505" i="14"/>
  <c r="D29" i="18" s="1"/>
  <c r="BO502" i="14"/>
  <c r="V26" i="18" s="1"/>
  <c r="AX525" i="14"/>
  <c r="E49" i="18" s="1"/>
  <c r="AX536" i="14"/>
  <c r="E60" i="18" s="1"/>
  <c r="AX544" i="14"/>
  <c r="E68" i="18" s="1"/>
  <c r="A213" i="14"/>
  <c r="A233" i="14"/>
  <c r="BT557" i="14"/>
  <c r="AG81" i="18" s="1"/>
  <c r="BT533" i="14"/>
  <c r="AG57" i="18" s="1"/>
  <c r="BT536" i="14"/>
  <c r="AG60" i="18" s="1"/>
  <c r="C54" i="18"/>
  <c r="CM446" i="14"/>
  <c r="BS511" i="14"/>
  <c r="Z35" i="18" s="1"/>
  <c r="BT505" i="14"/>
  <c r="AG29" i="18" s="1"/>
  <c r="BQ550" i="14"/>
  <c r="X74" i="18" s="1"/>
  <c r="AX522" i="14"/>
  <c r="E46" i="18" s="1"/>
  <c r="AX511" i="14"/>
  <c r="E35" i="18" s="1"/>
  <c r="BT555" i="14"/>
  <c r="AG79" i="18" s="1"/>
  <c r="BT531" i="14"/>
  <c r="AG55" i="18" s="1"/>
  <c r="C77" i="18"/>
  <c r="BT546" i="14"/>
  <c r="AG70" i="18" s="1"/>
  <c r="BY419" i="14"/>
  <c r="CM439" i="14"/>
  <c r="CN441" i="14"/>
  <c r="BI491" i="14"/>
  <c r="BK505" i="14"/>
  <c r="R29" i="18" s="1"/>
  <c r="BS505" i="14"/>
  <c r="Z29" i="18" s="1"/>
  <c r="AX505" i="14"/>
  <c r="E29" i="18" s="1"/>
  <c r="BI499" i="14"/>
  <c r="P23" i="18" s="1"/>
  <c r="AY505" i="14"/>
  <c r="F29" i="18" s="1"/>
  <c r="BQ562" i="14"/>
  <c r="X86" i="18" s="1"/>
  <c r="AY550" i="14"/>
  <c r="F74" i="18" s="1"/>
  <c r="AW523" i="14"/>
  <c r="AY522" i="14"/>
  <c r="F46" i="18" s="1"/>
  <c r="BO486" i="14"/>
  <c r="V10" i="18" s="1"/>
  <c r="BO497" i="14"/>
  <c r="V21" i="18" s="1"/>
  <c r="BT492" i="14"/>
  <c r="AG16" i="18" s="1"/>
  <c r="AX523" i="14"/>
  <c r="E47" i="18" s="1"/>
  <c r="AX537" i="14"/>
  <c r="E61" i="18" s="1"/>
  <c r="BT542" i="14"/>
  <c r="AG66" i="18" s="1"/>
  <c r="C66" i="18"/>
  <c r="BT553" i="14"/>
  <c r="AG77" i="18" s="1"/>
  <c r="BT529" i="14"/>
  <c r="AG53" i="18" s="1"/>
  <c r="C86" i="18"/>
  <c r="BT540" i="14"/>
  <c r="AG64" i="18" s="1"/>
  <c r="CQ448" i="14"/>
  <c r="BM491" i="14"/>
  <c r="T15" i="18" s="1"/>
  <c r="BS503" i="14"/>
  <c r="Z27" i="18" s="1"/>
  <c r="BI500" i="14"/>
  <c r="BM510" i="14"/>
  <c r="BI517" i="14"/>
  <c r="P41" i="18" s="1"/>
  <c r="AX550" i="14"/>
  <c r="E74" i="18" s="1"/>
  <c r="AZ550" i="14"/>
  <c r="G74" i="18" s="1"/>
  <c r="BT493" i="14"/>
  <c r="AG17" i="18" s="1"/>
  <c r="BO522" i="14"/>
  <c r="V46" i="18" s="1"/>
  <c r="A149" i="14"/>
  <c r="C68" i="18"/>
  <c r="U206" i="14"/>
  <c r="U253" i="14"/>
  <c r="A206" i="14"/>
  <c r="A253" i="14"/>
  <c r="BR550" i="14"/>
  <c r="Y74" i="18" s="1"/>
  <c r="BO490" i="14"/>
  <c r="V14" i="18" s="1"/>
  <c r="BO479" i="14"/>
  <c r="V3" i="18" s="1"/>
  <c r="BT562" i="14"/>
  <c r="AG86" i="18" s="1"/>
  <c r="C74" i="18"/>
  <c r="CD448" i="14"/>
  <c r="BR507" i="14"/>
  <c r="Y31" i="18" s="1"/>
  <c r="BI482" i="14"/>
  <c r="P6" i="18" s="1"/>
  <c r="BM492" i="14"/>
  <c r="T16" i="18" s="1"/>
  <c r="BS499" i="14"/>
  <c r="Z23" i="18" s="1"/>
  <c r="BM500" i="14"/>
  <c r="T24" i="18" s="1"/>
  <c r="BR516" i="14"/>
  <c r="Y40" i="18" s="1"/>
  <c r="AY511" i="14"/>
  <c r="F35" i="18" s="1"/>
  <c r="BI516" i="14"/>
  <c r="AX528" i="14"/>
  <c r="E52" i="18" s="1"/>
  <c r="BO516" i="14"/>
  <c r="V40" i="18" s="1"/>
  <c r="BO481" i="14"/>
  <c r="V5" i="18" s="1"/>
  <c r="AX533" i="14"/>
  <c r="E57" i="18" s="1"/>
  <c r="BT538" i="14"/>
  <c r="AG62" i="18" s="1"/>
  <c r="C62" i="18"/>
  <c r="AY551" i="14"/>
  <c r="F75" i="18" s="1"/>
  <c r="BT547" i="14"/>
  <c r="AG71" i="18" s="1"/>
  <c r="BT525" i="14"/>
  <c r="AG49" i="18" s="1"/>
  <c r="BZ443" i="14"/>
  <c r="BY439" i="14"/>
  <c r="CE440" i="14"/>
  <c r="CE448" i="14" s="1"/>
  <c r="CA443" i="14"/>
  <c r="CC440" i="14"/>
  <c r="CC448" i="14" s="1"/>
  <c r="BP485" i="14"/>
  <c r="W9" i="18" s="1"/>
  <c r="AC7" i="18"/>
  <c r="BX441" i="14"/>
  <c r="CB439" i="14"/>
  <c r="CA439" i="14"/>
  <c r="BY444" i="14"/>
  <c r="BX440" i="14"/>
  <c r="AC5" i="18"/>
  <c r="BZ446" i="14"/>
  <c r="BQ481" i="14"/>
  <c r="X5" i="18" s="1"/>
  <c r="BQ507" i="14"/>
  <c r="X31" i="18" s="1"/>
  <c r="D26" i="18"/>
  <c r="D24" i="18"/>
  <c r="CR448" i="14"/>
  <c r="BV422" i="14"/>
  <c r="AZ516" i="14"/>
  <c r="G40" i="18" s="1"/>
  <c r="BS516" i="14"/>
  <c r="Z40" i="18" s="1"/>
  <c r="BK516" i="14"/>
  <c r="R40" i="18" s="1"/>
  <c r="AW516" i="14"/>
  <c r="D40" i="18" s="1"/>
  <c r="D39" i="18"/>
  <c r="BS515" i="14"/>
  <c r="Z39" i="18" s="1"/>
  <c r="CT448" i="14"/>
  <c r="Q97" i="14" s="1"/>
  <c r="E20" i="17" s="1"/>
  <c r="CA445" i="14"/>
  <c r="BD448" i="14"/>
  <c r="BP448" i="14"/>
  <c r="CA446" i="14"/>
  <c r="AX516" i="14"/>
  <c r="E40" i="18" s="1"/>
  <c r="BU420" i="14"/>
  <c r="BO420" i="14"/>
  <c r="BN420" i="14"/>
  <c r="BJ420" i="14"/>
  <c r="BD420" i="14"/>
  <c r="BT420" i="14"/>
  <c r="BI420" i="14"/>
  <c r="BQ483" i="14"/>
  <c r="X7" i="18" s="1"/>
  <c r="BQ486" i="14"/>
  <c r="X10" i="18" s="1"/>
  <c r="BQ484" i="14"/>
  <c r="X8" i="18" s="1"/>
  <c r="T20" i="18"/>
  <c r="T11" i="18"/>
  <c r="BT482" i="14"/>
  <c r="AG6" i="18" s="1"/>
  <c r="BT480" i="14"/>
  <c r="AG4" i="18" s="1"/>
  <c r="BT489" i="14"/>
  <c r="AG13" i="18" s="1"/>
  <c r="BT491" i="14"/>
  <c r="AG15" i="18" s="1"/>
  <c r="T27" i="18"/>
  <c r="BQ503" i="14"/>
  <c r="X27" i="18" s="1"/>
  <c r="BQ485" i="14"/>
  <c r="X9" i="18" s="1"/>
  <c r="BQ494" i="14"/>
  <c r="X18" i="18" s="1"/>
  <c r="BT487" i="14"/>
  <c r="AG11" i="18" s="1"/>
  <c r="BQ480" i="14"/>
  <c r="X4" i="18" s="1"/>
  <c r="BT486" i="14"/>
  <c r="AG10" i="18" s="1"/>
  <c r="BQ513" i="14"/>
  <c r="X37" i="18" s="1"/>
  <c r="CS448" i="14"/>
  <c r="BM448" i="14"/>
  <c r="BN448" i="14"/>
  <c r="BA448" i="14"/>
  <c r="BC448" i="14"/>
  <c r="E19" i="17"/>
  <c r="P57" i="17"/>
  <c r="AA3" i="18"/>
  <c r="AA87" i="18"/>
  <c r="AA85" i="18"/>
  <c r="AA83" i="18"/>
  <c r="AA81" i="18"/>
  <c r="AA79" i="18"/>
  <c r="AA54" i="18"/>
  <c r="AA52" i="18"/>
  <c r="AA48" i="18"/>
  <c r="AA38" i="18"/>
  <c r="AA37" i="18"/>
  <c r="AA36" i="18"/>
  <c r="AA35" i="18"/>
  <c r="AA33" i="18"/>
  <c r="AA32" i="18"/>
  <c r="AA28" i="18"/>
  <c r="AA27" i="18"/>
  <c r="AA26" i="18"/>
  <c r="AA25" i="18"/>
  <c r="AA16" i="18"/>
  <c r="AA15" i="18"/>
  <c r="AA14" i="18"/>
  <c r="AA13" i="18"/>
  <c r="AA12" i="18"/>
  <c r="AA11" i="18"/>
  <c r="AA10" i="18"/>
  <c r="AA9" i="18"/>
  <c r="AA88" i="18"/>
  <c r="AA86" i="18"/>
  <c r="AA84" i="18"/>
  <c r="AA82" i="18"/>
  <c r="AA80" i="18"/>
  <c r="AA78" i="18"/>
  <c r="AA77" i="18"/>
  <c r="AA75" i="18"/>
  <c r="AA73" i="18"/>
  <c r="AA71" i="18"/>
  <c r="AA69" i="18"/>
  <c r="AA67" i="18"/>
  <c r="AA49" i="18"/>
  <c r="AA45" i="18"/>
  <c r="AA44" i="18"/>
  <c r="AA43" i="18"/>
  <c r="AA42" i="18"/>
  <c r="AA41" i="18"/>
  <c r="AA40" i="18"/>
  <c r="AA39" i="18"/>
  <c r="AA8" i="18"/>
  <c r="AA7" i="18"/>
  <c r="AA6" i="18"/>
  <c r="AA5" i="18"/>
  <c r="AA76" i="18"/>
  <c r="AA74" i="18"/>
  <c r="AA72" i="18"/>
  <c r="AA70" i="18"/>
  <c r="AA68" i="18"/>
  <c r="AA65" i="18"/>
  <c r="AA63" i="18"/>
  <c r="AA61" i="18"/>
  <c r="AA59" i="18"/>
  <c r="AA57" i="18"/>
  <c r="AA50" i="18"/>
  <c r="AA46" i="18"/>
  <c r="AA34" i="18"/>
  <c r="AA21" i="18"/>
  <c r="AA20" i="18"/>
  <c r="AA19" i="18"/>
  <c r="AA17" i="18"/>
  <c r="BC420" i="14" l="1"/>
  <c r="BT535" i="14"/>
  <c r="AG59" i="18" s="1"/>
  <c r="D31" i="18"/>
  <c r="BQ489" i="14"/>
  <c r="X13" i="18" s="1"/>
  <c r="BQ511" i="14"/>
  <c r="X35" i="18" s="1"/>
  <c r="BQ479" i="14"/>
  <c r="X3" i="18" s="1"/>
  <c r="BT544" i="14"/>
  <c r="AG68" i="18" s="1"/>
  <c r="D47" i="18"/>
  <c r="BT523" i="14"/>
  <c r="AG47" i="18" s="1"/>
  <c r="BT522" i="14"/>
  <c r="AG46" i="18" s="1"/>
  <c r="BQ512" i="14"/>
  <c r="X36" i="18" s="1"/>
  <c r="BZ448" i="14"/>
  <c r="CO448" i="14"/>
  <c r="BT499" i="14"/>
  <c r="AG23" i="18" s="1"/>
  <c r="D23" i="18"/>
  <c r="BZ419" i="14"/>
  <c r="BT419" i="14"/>
  <c r="CA419" i="14"/>
  <c r="P16" i="18"/>
  <c r="BQ492" i="14"/>
  <c r="X16" i="18" s="1"/>
  <c r="G34" i="17"/>
  <c r="H37" i="17" s="1"/>
  <c r="BQ495" i="14"/>
  <c r="X19" i="18" s="1"/>
  <c r="CN448" i="14"/>
  <c r="BY448" i="14"/>
  <c r="BQ496" i="14"/>
  <c r="X20" i="18" s="1"/>
  <c r="CB448" i="14"/>
  <c r="BX448" i="14"/>
  <c r="CM448" i="14"/>
  <c r="D5" i="18"/>
  <c r="BT481" i="14"/>
  <c r="AG5" i="18" s="1"/>
  <c r="BH418" i="14"/>
  <c r="BH422" i="14" s="1"/>
  <c r="BT479" i="14"/>
  <c r="AG3" i="18" s="1"/>
  <c r="BI422" i="14"/>
  <c r="P24" i="18"/>
  <c r="BQ500" i="14"/>
  <c r="X24" i="18" s="1"/>
  <c r="P29" i="18"/>
  <c r="BQ505" i="14"/>
  <c r="X29" i="18" s="1"/>
  <c r="D35" i="18"/>
  <c r="BT511" i="14"/>
  <c r="AG35" i="18" s="1"/>
  <c r="BQ502" i="14"/>
  <c r="X26" i="18" s="1"/>
  <c r="G13" i="17"/>
  <c r="P15" i="18"/>
  <c r="BQ491" i="14"/>
  <c r="X15" i="18" s="1"/>
  <c r="G14" i="17"/>
  <c r="CA448" i="14"/>
  <c r="P40" i="18"/>
  <c r="BQ516" i="14"/>
  <c r="X40" i="18" s="1"/>
  <c r="BQ482" i="14"/>
  <c r="X6" i="18" s="1"/>
  <c r="T34" i="18"/>
  <c r="BQ510" i="14"/>
  <c r="X34" i="18" s="1"/>
  <c r="BQ499" i="14"/>
  <c r="X23" i="18" s="1"/>
  <c r="BQ490" i="14"/>
  <c r="X14" i="18" s="1"/>
  <c r="P14" i="18"/>
  <c r="BQ506" i="14"/>
  <c r="X30" i="18" s="1"/>
  <c r="BT516" i="14"/>
  <c r="AG40" i="18" s="1"/>
  <c r="G11" i="17"/>
  <c r="G10" i="17" s="1"/>
  <c r="A52" i="17"/>
  <c r="BH420" i="14"/>
  <c r="H36" i="17" l="1"/>
  <c r="H35" i="17"/>
  <c r="A54" i="17"/>
  <c r="C49" i="17" s="1"/>
</calcChain>
</file>

<file path=xl/sharedStrings.xml><?xml version="1.0" encoding="utf-8"?>
<sst xmlns="http://schemas.openxmlformats.org/spreadsheetml/2006/main" count="560" uniqueCount="329">
  <si>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</si>
  <si>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</si>
  <si>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</si>
  <si>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</si>
  <si>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</si>
  <si>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</si>
  <si>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</si>
  <si>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</si>
  <si>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</si>
  <si>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</si>
  <si>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</si>
  <si>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</si>
  <si>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</si>
  <si>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</si>
  <si>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</si>
  <si>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</si>
  <si>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</si>
  <si>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</si>
  <si>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</si>
  <si>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</si>
  <si>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</si>
  <si>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</si>
  <si>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</si>
  <si>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</si>
  <si>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</si>
  <si>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</si>
  <si>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</si>
  <si>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</si>
  <si>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</si>
  <si>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</si>
  <si>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</si>
  <si>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</si>
  <si>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</si>
  <si>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</si>
  <si>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</si>
  <si>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</si>
  <si>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</si>
  <si>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</si>
  <si>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</si>
  <si>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</si>
  <si>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</si>
  <si>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</si>
  <si>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</si>
  <si>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</si>
  <si>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</si>
  <si>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</si>
  <si>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</si>
  <si>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</si>
  <si>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</si>
  <si>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</si>
  <si>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</si>
  <si>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</si>
  <si>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</si>
  <si>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</si>
  <si>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</si>
  <si>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</si>
  <si>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</si>
  <si>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</si>
  <si>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</si>
  <si>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</si>
  <si>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</si>
  <si>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</si>
  <si>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</si>
  <si>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</si>
  <si>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</si>
  <si>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</si>
  <si>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</si>
  <si>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</si>
  <si>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</si>
  <si>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</si>
  <si>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</si>
  <si>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</si>
  <si>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</si>
  <si>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</si>
  <si>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</si>
  <si>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</si>
  <si>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</si>
  <si>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</si>
  <si>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</si>
  <si>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</si>
  <si>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</si>
  <si>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</si>
  <si>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</si>
  <si>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</si>
  <si>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</si>
  <si>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</si>
  <si>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</si>
  <si>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</si>
  <si>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</si>
  <si>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</si>
  <si>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</si>
  <si>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</si>
  <si>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</si>
  <si>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</si>
  <si>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</si>
  <si>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</si>
  <si>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</si>
  <si>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</si>
  <si>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</si>
  <si>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</si>
  <si>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</si>
  <si>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</si>
  <si>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</si>
  <si>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</si>
  <si>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</si>
  <si>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</si>
  <si>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</si>
  <si>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</si>
  <si>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</si>
  <si>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</si>
  <si>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</si>
  <si>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</si>
  <si>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</si>
  <si>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</si>
  <si>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</si>
  <si>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</si>
  <si>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</si>
  <si>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</si>
  <si>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</si>
  <si>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</si>
  <si>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</si>
  <si>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</si>
  <si>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</si>
  <si>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</si>
  <si>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</si>
  <si>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</si>
  <si>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</si>
  <si>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</si>
  <si>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</si>
  <si>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</si>
  <si>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</si>
  <si>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</si>
  <si>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</si>
  <si>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</si>
  <si>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</si>
  <si>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</si>
  <si>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</si>
  <si>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</si>
  <si>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</si>
  <si>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</si>
  <si>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</si>
  <si>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</si>
  <si>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</si>
  <si>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</si>
  <si>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</si>
  <si>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</si>
  <si>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</si>
  <si>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</si>
  <si>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</si>
  <si>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</si>
  <si>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</si>
  <si>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</si>
  <si>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</si>
  <si>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</si>
  <si>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</si>
  <si>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</si>
  <si>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</si>
  <si>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</si>
  <si>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</si>
  <si>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</si>
  <si>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</si>
  <si>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</si>
  <si>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</si>
  <si>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</si>
  <si>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</si>
  <si>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</si>
  <si>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</si>
  <si>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</si>
  <si>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</si>
  <si>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</si>
  <si>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</si>
  <si>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</si>
  <si>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</si>
  <si>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</si>
  <si>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</si>
  <si>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</si>
  <si>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</si>
  <si>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</si>
  <si>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</si>
  <si>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</si>
  <si>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</si>
  <si>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</si>
  <si>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</si>
  <si>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</si>
  <si>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</si>
  <si>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</si>
  <si>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</si>
  <si>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</si>
  <si>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</si>
  <si>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</si>
  <si>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</si>
  <si>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</si>
  <si>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</si>
  <si>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</si>
  <si>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</si>
  <si>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</si>
  <si>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</si>
  <si>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</si>
  <si>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</si>
  <si>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</si>
  <si>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</si>
  <si>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</si>
  <si>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</si>
  <si>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</si>
  <si>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</si>
  <si>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</si>
  <si>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</si>
  <si>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</si>
  <si>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</si>
  <si>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</si>
  <si>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</si>
  <si>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8</t>
  </si>
  <si>
    <t>9</t>
  </si>
  <si>
    <t>07</t>
  </si>
  <si>
    <t>08</t>
  </si>
  <si>
    <t>discip_predare</t>
  </si>
  <si>
    <t>VAP</t>
  </si>
  <si>
    <t>practica profesionala</t>
  </si>
  <si>
    <t>TOTAL</t>
  </si>
  <si>
    <t>practica de cercet</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</si>
  <si>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</si>
  <si>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</si>
  <si>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</si>
  <si>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</si>
  <si>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</si>
  <si>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</si>
  <si>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</si>
  <si>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</si>
  <si>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</si>
  <si>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</si>
  <si>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</si>
  <si>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</si>
  <si>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</si>
  <si>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</si>
  <si>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</si>
  <si>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</si>
  <si>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</si>
  <si>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</si>
  <si>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</si>
  <si>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Numărul minim de credite alocat unei discipline</t>
  </si>
  <si>
    <t>Numărul maxim de credite alocat unei discipline</t>
  </si>
  <si>
    <t>din 120  (exclusiv creditele pentru promovarea lucrarii de disertatie)</t>
  </si>
  <si>
    <t>(1,2 -1,5)</t>
  </si>
  <si>
    <t>min 60%</t>
  </si>
  <si>
    <t>min. 14 max 16 ore/săpt.</t>
  </si>
  <si>
    <t>min 2 săpt.</t>
  </si>
  <si>
    <t>min 4 săpt.</t>
  </si>
  <si>
    <t xml:space="preserve">min 4 </t>
  </si>
  <si>
    <t>min 10</t>
  </si>
  <si>
    <t>08.09.2021</t>
  </si>
  <si>
    <t xml:space="preserve">organizare pe serii de studenti </t>
  </si>
  <si>
    <t>diverse formatari</t>
  </si>
  <si>
    <t>V5</t>
  </si>
  <si>
    <t>2021_09_08_1200</t>
  </si>
  <si>
    <t>An_cal</t>
  </si>
  <si>
    <t>versiune</t>
  </si>
  <si>
    <t>Domeniu</t>
  </si>
  <si>
    <t>Cod_DL</t>
  </si>
  <si>
    <t>Program</t>
  </si>
  <si>
    <t>DFI</t>
  </si>
  <si>
    <t>RSI</t>
  </si>
  <si>
    <t>Cod_S</t>
  </si>
  <si>
    <t>stiinte umaniste arh</t>
  </si>
  <si>
    <t xml:space="preserve">Durata pentru elaborarea lucrării de disertație </t>
  </si>
  <si>
    <t>minim 672 max 896 ore - La acestea se adaugă stagiile activității practice de specialitate și elaborarii lucrării de disertație</t>
  </si>
  <si>
    <t xml:space="preserve">Durata practicii (profesională sau de cercetare funcție de tipul de masterat) </t>
  </si>
  <si>
    <t>practica elaborare !!!</t>
  </si>
  <si>
    <t>D</t>
  </si>
  <si>
    <t>Raportul  dintre  numărul  orelor aplicative (seminare, laboratoare,  proiecte,  stagii  de  practică  etc.) și  numărul orelor de curs:</t>
  </si>
  <si>
    <t>20210923-1358</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</si>
  <si>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</si>
  <si>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</si>
  <si>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</si>
  <si>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</si>
  <si>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</si>
  <si>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</si>
  <si>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</si>
  <si>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</si>
  <si>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</si>
  <si>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Tendinţe, materiale şi tehnologii noi în arhitectura de interior</t>
  </si>
  <si>
    <t>Științe umaniste și arte</t>
  </si>
  <si>
    <t>Arhitectură și Urbanism</t>
  </si>
  <si>
    <t>Arhitectură</t>
  </si>
  <si>
    <t xml:space="preserve">Arhitectură </t>
  </si>
  <si>
    <t>Misiunea Masteratului Tendinţe, Materiale şi Tehnologii Noi ȋn Arhitectura de Interior se axează pe dezvoltarea continuă a procesului de învățământ și a activităților de cercetare – dezvoltare, în vederea pregătirii unor profesioniști capabili să gestioneze situații complexe în domeniul deisgnului și arhitecturii de interior, în acord cu tendințele observate pe plan național și internațional precum și cu realitățile mediului profesional și academic.                                                                                                                                                                                                               Misiunea de bază este formarea de profesioniști cu competenţe specifice designului și arhitecturii de interior prin aprofundarea studiilor de licenţă în specializările aferente domeniului Arhitectură, asigurând o pregătire multidisciplinară în domeniul designului și arhitecturii de interior cu caracter general, teoretic și aplicat.</t>
  </si>
  <si>
    <t xml:space="preserve"> consolidarea și aprofundarea cunoștințelor și competențelor dobândite de absolvenții ciclului de licență de Mobilier și Amenajări Interioare și Arhitectură
 pregătirea studenților pentru abordarea unor probleme complexe de proiectare specifice designului și arhitecturii de interior definind modalități de intervenție fundamentate , în funcție de context
 dezvoltarea capacităţii studenţilor de a transpune în practică cunoştinţe complexe din domeniul designului și arhitecturii de interior, pe baza unor decizii argumentate
 dezvoltarea de abilităţi de cercetare şi soluţionare de probleme complexe, specifice domeniului designului și arhitecturii de interior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</si>
  <si>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C1 - Abilitatea de a utiliza cunoștințe avansate de istorie și teorie din domeniul arhitecturii de interior și a mobilierului în activitatea profesională
C2 - Capacitatea de a elabora proiecte de arhitectura de interior și mobilier, ținând cont de cadrul legislativ, economic și instituțional 
C3 - Capacitatea de a utiliza cunoștințe avansate (din punct de vedere al sustenabilității tehnologice, ecologice, economice și sociale), utilizând metode și tehnici contemporane în domeniul arhitecturii de interior și a mobilierului
C4 - Capacitatea de a fundamenta decizii pe baza unei cercetări multi-criteriale sociale și culturale aplicate în domeniul arhitecturii de interior și a mobilierului
C5 - Abilitatea de a utiliza instrumente contemporane în practica profesională în domeniul arhitecturii de interior și mobilierului
C6 - Abilitatea de a aplica strategii de management profesional în domeniul arhitecturii de interior și mobilierului; managementul firmei de proiectare, al proiectului și al execuției</t>
  </si>
  <si>
    <t>CT1 - Desfășurarea sarcinilor profesionale printr-un comportament onorabil, etic, în spiritual legii, pentru a asigura reputația profesiei 
CT2 - Asumarea de roluri/funcții de conducere în cadrul unui grup de lucru pentru îndeplinirea cu responsabilitate a rolului rezervat în echipa de proiectare; rezolvarea sarcinilor profesionale proprii, precum și dezvoltarea capacității de organizare, de colaborare și lucru cu colegii de echipa și cu nivelurile superioare și subordonate 
CT3 - Valorificarea experiențelor profesionale, identificarea nevoilor de formare și transformarea lor în dezvoltarea competențelor și abilitaților proprii</t>
  </si>
  <si>
    <t>216111 Arhitect de interior; 216109 Cercetător în arhitectură;  216104 Consilier arhitect</t>
  </si>
  <si>
    <t>Arhitectură de interior 1</t>
  </si>
  <si>
    <t>Stilistică comparată</t>
  </si>
  <si>
    <t>Ambianţă de interior</t>
  </si>
  <si>
    <t>Materiale şi tehnologii</t>
  </si>
  <si>
    <t>Disciplină opțională 1</t>
  </si>
  <si>
    <t>Disciplină opțională 2</t>
  </si>
  <si>
    <t>Arhitectură de interior 2</t>
  </si>
  <si>
    <t>Design ambiental-Programe</t>
  </si>
  <si>
    <t>Echipamente şi instalaţii</t>
  </si>
  <si>
    <t>DA</t>
  </si>
  <si>
    <t>Scenografie</t>
  </si>
  <si>
    <t>Disciplină opțională 3</t>
  </si>
  <si>
    <t>Disciplină opțională 4</t>
  </si>
  <si>
    <t>Practică profesională 1</t>
  </si>
  <si>
    <t>Arhitectură de interior 3</t>
  </si>
  <si>
    <t>Ambient istoric</t>
  </si>
  <si>
    <t>Ecodesign</t>
  </si>
  <si>
    <t>Psihlologie ambientală</t>
  </si>
  <si>
    <t>Disciplină opțională 5</t>
  </si>
  <si>
    <t>Disciplină opțională 6</t>
  </si>
  <si>
    <t>Practică profesională 2</t>
  </si>
  <si>
    <t xml:space="preserve">Etică şi integritate academică </t>
  </si>
  <si>
    <t>Cercetare indrumata</t>
  </si>
  <si>
    <t>Elaborare lucrare de disertaţie</t>
  </si>
  <si>
    <t>Disciplină opțională 1. Noţiuni de detaliere tehnică CAD</t>
  </si>
  <si>
    <t>Disciplină opțională 1. Modelare 3D avansată și fabricație digitală</t>
  </si>
  <si>
    <t>Disciplină opțională 2. Intervenţii structurale şi nestructurale în arhitectura de interior</t>
  </si>
  <si>
    <t>Disciplină opțională 2. Estetica elementelor structurale în arhitectura de interior</t>
  </si>
  <si>
    <t>Disciplină opțională 3. Noţiuni de proiectare complexă asistată de calculator</t>
  </si>
  <si>
    <t>Disciplină opțională 3. Devize și specificații tehnice  în proiecte de mobilier și amenajări interioare</t>
  </si>
  <si>
    <t>Disciplină opțională 4. Detaliere mobilier contemporan</t>
  </si>
  <si>
    <t>Disciplină opțională 4. Sisteme de echipare contemporană a mobilierului</t>
  </si>
  <si>
    <t>Disciplină opțională 5. Metodologie și tehnici de cercetare în arhitectura de interior</t>
  </si>
  <si>
    <t>Disciplină opțională 5. Metode avansate de comunicare profesională</t>
  </si>
  <si>
    <t>Disciplină opțională 6.  Management economic</t>
  </si>
  <si>
    <t>Disciplină opțională 6. Eficiența economică și financiară a proiectelor de investiții</t>
  </si>
  <si>
    <t xml:space="preserve">Examen de disertaţie                     </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</si>
  <si>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</si>
  <si>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</si>
  <si>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Conf.univ.dr.arh. Cristian-Tiberiu BLIDARIU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</si>
</sst>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sz val="11"/>
      <color rgb="FFFF0000"/>
      <name val="Arial"/>
      <family val="2"/>
      <charset val="238"/>
    </font>
    <font>
      <b/>
      <i/>
      <sz val="11"/>
      <color indexed="18"/>
      <name val="Arial"/>
      <family val="2"/>
    </font>
    <font>
      <b/>
      <sz val="11"/>
      <color rgb="FF92D050"/>
      <name val="Arial"/>
      <family val="2"/>
    </font>
    <font>
      <sz val="14"/>
      <color indexed="18"/>
      <name val="Arial"/>
      <family val="2"/>
    </font>
    <font>
      <sz val="12"/>
      <color rgb="FF00007A"/>
      <name val="Arial"/>
      <family val="2"/>
      <charset val="238"/>
    </font>
    <font>
      <sz val="12"/>
      <color rgb="FF00007A"/>
      <name val="Arial"/>
      <family val="2"/>
    </font>
    <font>
      <i/>
      <sz val="11"/>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5" fillId="0" borderId="0" xfId="0" applyFont="1" applyAlignment="1">
      <alignment horizontal="left"/>
    </xf>
    <xf numFmtId="0" fontId="22" fillId="0" borderId="1" xfId="0" applyFont="1" applyBorder="1" applyAlignment="1">
      <alignment horizontal="center"/>
    </xf>
    <xf numFmtId="0" fontId="73" fillId="0" borderId="0" xfId="0" applyFont="1" applyAlignment="1">
      <alignment wrapText="1"/>
    </xf>
    <xf numFmtId="0" fontId="5" fillId="0" borderId="0" xfId="0" applyFont="1" applyAlignment="1" applyProtection="1">
      <alignment horizontal="center"/>
      <protection hidden="1"/>
    </xf>
    <xf numFmtId="0" fontId="55" fillId="0" borderId="0" xfId="0" applyFont="1" applyBorder="1" applyProtection="1">
      <protection hidden="1"/>
    </xf>
    <xf numFmtId="2" fontId="46" fillId="0" borderId="0" xfId="0" applyNumberFormat="1" applyFont="1" applyBorder="1" applyProtection="1">
      <protection hidden="1"/>
    </xf>
    <xf numFmtId="2" fontId="46" fillId="6" borderId="0" xfId="0" applyNumberFormat="1" applyFont="1" applyFill="1" applyBorder="1" applyProtection="1">
      <protection hidden="1"/>
    </xf>
    <xf numFmtId="1" fontId="46" fillId="0" borderId="0" xfId="0" applyNumberFormat="1" applyFont="1" applyFill="1" applyBorder="1" applyProtection="1">
      <protection hidden="1"/>
    </xf>
    <xf numFmtId="0" fontId="74" fillId="0" borderId="1" xfId="0" applyFont="1" applyBorder="1" applyAlignment="1" applyProtection="1">
      <alignment horizontal="center"/>
      <protection hidden="1"/>
    </xf>
    <xf numFmtId="0" fontId="73" fillId="0" borderId="0" xfId="0" applyFont="1" applyFill="1"/>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78" fillId="4" borderId="6"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29"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35" fillId="4" borderId="29" xfId="0" applyFont="1" applyFill="1" applyBorder="1" applyAlignment="1" applyProtection="1">
      <alignment horizontal="center" vertical="center" wrapText="1"/>
      <protection locked="0"/>
    </xf>
    <xf numFmtId="0" fontId="79" fillId="4"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59"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1" xfId="0" applyFont="1" applyBorder="1" applyAlignment="1" applyProtection="1">
      <alignment horizontal="center"/>
      <protection hidden="1"/>
    </xf>
    <xf numFmtId="0" fontId="42" fillId="0" borderId="0" xfId="0" applyFont="1" applyBorder="1" applyAlignment="1" applyProtection="1">
      <alignment horizontal="center" wrapText="1"/>
      <protection hidden="1"/>
    </xf>
    <xf numFmtId="0" fontId="42" fillId="0" borderId="0" xfId="0" applyFont="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opLeftCell="A42" zoomScale="70" zoomScaleNormal="70" zoomScaleSheetLayoutView="90" zoomScalePageLayoutView="70" workbookViewId="0">
      <selection activeCell="N48" sqref="N48:U48"/>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4" t="s">
        <v>98</v>
      </c>
      <c r="B4" s="374"/>
      <c r="C4" s="374"/>
      <c r="D4" s="374"/>
      <c r="E4" s="374"/>
      <c r="F4" s="374"/>
      <c r="G4" s="374"/>
      <c r="H4" s="374"/>
      <c r="I4" s="374"/>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5" t="s">
        <v>279</v>
      </c>
      <c r="K25" s="375"/>
      <c r="L25" s="375"/>
      <c r="M25" s="375"/>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232</v>
      </c>
      <c r="D27" s="15"/>
      <c r="E27" s="15"/>
      <c r="F27" s="15"/>
      <c r="G27" s="15"/>
      <c r="H27" s="15"/>
      <c r="I27" s="15"/>
      <c r="J27" s="375" t="s">
        <v>234</v>
      </c>
      <c r="K27" s="375"/>
      <c r="L27" s="375"/>
      <c r="M27" s="375"/>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5" t="s">
        <v>280</v>
      </c>
      <c r="K29" s="375"/>
      <c r="L29" s="375"/>
      <c r="M29" s="375"/>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5" t="s">
        <v>281</v>
      </c>
      <c r="K31" s="375"/>
      <c r="L31" s="375"/>
      <c r="M31" s="375"/>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5" t="s">
        <v>282</v>
      </c>
      <c r="K33" s="375"/>
      <c r="L33" s="375"/>
      <c r="M33" s="375"/>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81" t="s">
        <v>192</v>
      </c>
      <c r="K35" s="381"/>
      <c r="L35" s="381"/>
      <c r="M35" s="38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5" t="s">
        <v>85</v>
      </c>
      <c r="K37" s="375"/>
      <c r="L37" s="375"/>
      <c r="M37" s="375"/>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5" t="s">
        <v>283</v>
      </c>
      <c r="K39" s="375"/>
      <c r="L39" s="375"/>
      <c r="M39" s="375"/>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6" t="s">
        <v>235</v>
      </c>
      <c r="C48" s="386"/>
      <c r="D48" s="386"/>
      <c r="E48" s="386"/>
      <c r="F48" s="386"/>
      <c r="G48" s="386"/>
      <c r="H48" s="386"/>
      <c r="I48" s="386"/>
      <c r="J48" s="21"/>
      <c r="K48" s="21"/>
      <c r="L48" s="21"/>
      <c r="N48" s="378" t="s">
        <v>328</v>
      </c>
      <c r="O48" s="378"/>
      <c r="P48" s="378"/>
      <c r="Q48" s="378"/>
      <c r="R48" s="378"/>
      <c r="S48" s="378"/>
      <c r="T48" s="378"/>
      <c r="U48" s="378"/>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0" t="s">
        <v>91</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20"/>
      <c r="AA59" s="20"/>
      <c r="AB59" s="20"/>
      <c r="AC59" s="20"/>
      <c r="AD59" s="20"/>
      <c r="AE59" s="20"/>
      <c r="AF59" s="20"/>
      <c r="AG59" s="20"/>
      <c r="AH59" s="20"/>
      <c r="AI59" s="20"/>
      <c r="AJ59" s="31"/>
    </row>
    <row r="60" spans="1:37" s="30" customFormat="1" ht="18.75" customHeight="1" x14ac:dyDescent="0.2">
      <c r="A60" s="368" t="s">
        <v>284</v>
      </c>
      <c r="B60" s="369"/>
      <c r="C60" s="369"/>
      <c r="D60" s="369"/>
      <c r="E60" s="369"/>
      <c r="F60" s="369"/>
      <c r="G60" s="369"/>
      <c r="H60" s="369"/>
      <c r="I60" s="369"/>
      <c r="J60" s="369"/>
      <c r="K60" s="369"/>
      <c r="L60" s="369"/>
      <c r="M60" s="369"/>
      <c r="N60" s="369"/>
      <c r="O60" s="369"/>
      <c r="P60" s="369"/>
      <c r="Q60" s="369"/>
      <c r="R60" s="369"/>
      <c r="S60" s="369"/>
      <c r="T60" s="369"/>
      <c r="U60" s="369"/>
      <c r="V60" s="369"/>
      <c r="W60" s="369"/>
      <c r="X60" s="369"/>
      <c r="Y60" s="369"/>
      <c r="Z60" s="33"/>
      <c r="AA60" s="33"/>
      <c r="AB60" s="33"/>
      <c r="AC60" s="33"/>
      <c r="AD60" s="33"/>
      <c r="AE60" s="33"/>
      <c r="AF60" s="33"/>
      <c r="AG60" s="33"/>
      <c r="AH60" s="33"/>
      <c r="AI60" s="33"/>
      <c r="AJ60" s="31"/>
    </row>
    <row r="61" spans="1:37" s="30" customFormat="1" ht="64.5" customHeight="1" x14ac:dyDescent="0.2">
      <c r="A61" s="368"/>
      <c r="B61" s="369"/>
      <c r="C61" s="369"/>
      <c r="D61" s="369"/>
      <c r="E61" s="369"/>
      <c r="F61" s="369"/>
      <c r="G61" s="369"/>
      <c r="H61" s="369"/>
      <c r="I61" s="369"/>
      <c r="J61" s="369"/>
      <c r="K61" s="369"/>
      <c r="L61" s="369"/>
      <c r="M61" s="369"/>
      <c r="N61" s="369"/>
      <c r="O61" s="369"/>
      <c r="P61" s="369"/>
      <c r="Q61" s="369"/>
      <c r="R61" s="369"/>
      <c r="S61" s="369"/>
      <c r="T61" s="369"/>
      <c r="U61" s="369"/>
      <c r="V61" s="369"/>
      <c r="W61" s="369"/>
      <c r="X61" s="369"/>
      <c r="Y61" s="369"/>
      <c r="Z61" s="33"/>
      <c r="AA61" s="33"/>
      <c r="AB61" s="33"/>
      <c r="AC61" s="33"/>
      <c r="AD61" s="33"/>
      <c r="AE61" s="33"/>
      <c r="AF61" s="33"/>
      <c r="AG61" s="33"/>
      <c r="AH61" s="33"/>
      <c r="AI61" s="33"/>
      <c r="AJ61" s="31"/>
    </row>
    <row r="62" spans="1:37" s="30" customFormat="1" ht="15" x14ac:dyDescent="0.2">
      <c r="A62" s="384"/>
      <c r="B62" s="385"/>
      <c r="C62" s="385"/>
      <c r="D62" s="385"/>
      <c r="E62" s="385"/>
      <c r="F62" s="385"/>
      <c r="G62" s="385"/>
      <c r="H62" s="385"/>
      <c r="I62" s="385"/>
      <c r="J62" s="385"/>
      <c r="K62" s="385"/>
      <c r="L62" s="385"/>
      <c r="M62" s="385"/>
      <c r="N62" s="385"/>
      <c r="O62" s="385"/>
      <c r="P62" s="385"/>
      <c r="Q62" s="385"/>
      <c r="R62" s="385"/>
      <c r="S62" s="385"/>
      <c r="T62" s="385"/>
      <c r="U62" s="385"/>
      <c r="V62" s="385"/>
      <c r="W62" s="385"/>
      <c r="X62" s="385"/>
      <c r="Y62" s="385"/>
      <c r="Z62" s="385"/>
      <c r="AA62" s="385"/>
      <c r="AB62" s="385"/>
      <c r="AC62" s="385"/>
      <c r="AD62" s="385"/>
      <c r="AE62" s="385"/>
      <c r="AF62" s="385"/>
      <c r="AG62" s="385"/>
      <c r="AH62" s="385"/>
      <c r="AI62" s="385"/>
      <c r="AJ62" s="31"/>
    </row>
    <row r="63" spans="1:37" s="30" customFormat="1" ht="15.75" customHeight="1" x14ac:dyDescent="0.25">
      <c r="A63" s="370" t="s">
        <v>90</v>
      </c>
      <c r="B63" s="371"/>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20"/>
      <c r="AA63" s="20"/>
      <c r="AB63" s="20"/>
      <c r="AC63" s="20"/>
      <c r="AD63" s="20"/>
      <c r="AE63" s="20"/>
      <c r="AF63" s="20"/>
      <c r="AG63" s="20"/>
      <c r="AH63" s="20"/>
      <c r="AI63" s="20"/>
      <c r="AJ63" s="31"/>
    </row>
    <row r="64" spans="1:37" s="30" customFormat="1" ht="15" customHeight="1" x14ac:dyDescent="0.2">
      <c r="A64" s="382" t="s">
        <v>285</v>
      </c>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23"/>
      <c r="AA64" s="23"/>
      <c r="AB64" s="23"/>
      <c r="AC64" s="23"/>
      <c r="AD64" s="23"/>
      <c r="AE64" s="23"/>
      <c r="AF64" s="23"/>
      <c r="AG64" s="23"/>
      <c r="AH64" s="23"/>
      <c r="AI64" s="23"/>
      <c r="AJ64" s="31"/>
    </row>
    <row r="65" spans="1:36" s="30" customFormat="1" ht="59.25" customHeight="1" x14ac:dyDescent="0.2">
      <c r="A65" s="382"/>
      <c r="B65" s="383"/>
      <c r="C65" s="383"/>
      <c r="D65" s="383"/>
      <c r="E65" s="383"/>
      <c r="F65" s="383"/>
      <c r="G65" s="383"/>
      <c r="H65" s="383"/>
      <c r="I65" s="383"/>
      <c r="J65" s="383"/>
      <c r="K65" s="383"/>
      <c r="L65" s="383"/>
      <c r="M65" s="383"/>
      <c r="N65" s="383"/>
      <c r="O65" s="383"/>
      <c r="P65" s="383"/>
      <c r="Q65" s="383"/>
      <c r="R65" s="383"/>
      <c r="S65" s="383"/>
      <c r="T65" s="383"/>
      <c r="U65" s="383"/>
      <c r="V65" s="383"/>
      <c r="W65" s="383"/>
      <c r="X65" s="383"/>
      <c r="Y65" s="383"/>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0" t="s">
        <v>89</v>
      </c>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20"/>
      <c r="AA67" s="20"/>
      <c r="AB67" s="20"/>
      <c r="AC67" s="20"/>
      <c r="AD67" s="20"/>
      <c r="AE67" s="20"/>
      <c r="AF67" s="20"/>
      <c r="AG67" s="20"/>
      <c r="AH67" s="20"/>
      <c r="AI67" s="20"/>
      <c r="AJ67" s="17"/>
    </row>
    <row r="68" spans="1:36" s="19" customFormat="1" ht="20.25" customHeight="1" x14ac:dyDescent="0.3">
      <c r="A68" s="370" t="s">
        <v>88</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23"/>
      <c r="AA68" s="23"/>
      <c r="AB68" s="23"/>
      <c r="AC68" s="23"/>
      <c r="AD68" s="23"/>
      <c r="AE68" s="23"/>
      <c r="AF68" s="23"/>
      <c r="AG68" s="23"/>
      <c r="AH68" s="23"/>
      <c r="AI68" s="23"/>
      <c r="AJ68" s="17"/>
    </row>
    <row r="69" spans="1:36" s="19" customFormat="1" ht="20.25" customHeight="1" x14ac:dyDescent="0.3">
      <c r="A69" s="376" t="s">
        <v>286</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23"/>
      <c r="AA69" s="23"/>
      <c r="AB69" s="23"/>
      <c r="AC69" s="23"/>
      <c r="AD69" s="23"/>
      <c r="AE69" s="23"/>
      <c r="AF69" s="23"/>
      <c r="AG69" s="23"/>
      <c r="AH69" s="23"/>
      <c r="AI69" s="23"/>
      <c r="AJ69" s="17"/>
    </row>
    <row r="70" spans="1:36" s="19" customFormat="1" ht="85.5" customHeight="1" x14ac:dyDescent="0.3">
      <c r="A70" s="376"/>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0" t="s">
        <v>87</v>
      </c>
      <c r="B72" s="371"/>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23"/>
      <c r="AA72" s="23"/>
      <c r="AB72" s="23"/>
      <c r="AC72" s="23"/>
      <c r="AD72" s="23"/>
      <c r="AE72" s="23"/>
      <c r="AF72" s="23"/>
      <c r="AG72" s="23"/>
      <c r="AH72" s="23"/>
      <c r="AI72" s="23"/>
      <c r="AJ72" s="17"/>
    </row>
    <row r="73" spans="1:36" s="19" customFormat="1" ht="20.25" x14ac:dyDescent="0.3">
      <c r="A73" s="372" t="s">
        <v>287</v>
      </c>
      <c r="B73" s="373"/>
      <c r="C73" s="373"/>
      <c r="D73" s="373"/>
      <c r="E73" s="373"/>
      <c r="F73" s="373"/>
      <c r="G73" s="373"/>
      <c r="H73" s="373"/>
      <c r="I73" s="373"/>
      <c r="J73" s="373"/>
      <c r="K73" s="373"/>
      <c r="L73" s="373"/>
      <c r="M73" s="373"/>
      <c r="N73" s="373"/>
      <c r="O73" s="373"/>
      <c r="P73" s="373"/>
      <c r="Q73" s="373"/>
      <c r="R73" s="373"/>
      <c r="S73" s="373"/>
      <c r="T73" s="373"/>
      <c r="U73" s="373"/>
      <c r="V73" s="373"/>
      <c r="W73" s="373"/>
      <c r="X73" s="373"/>
      <c r="Y73" s="373"/>
      <c r="Z73" s="23"/>
      <c r="AA73" s="23"/>
      <c r="AB73" s="23"/>
      <c r="AC73" s="23"/>
      <c r="AD73" s="23"/>
      <c r="AE73" s="23"/>
      <c r="AF73" s="23"/>
      <c r="AG73" s="23"/>
      <c r="AH73" s="23"/>
      <c r="AI73" s="23"/>
      <c r="AJ73" s="17"/>
    </row>
    <row r="74" spans="1:36" s="19" customFormat="1" ht="43.5" customHeight="1" x14ac:dyDescent="0.3">
      <c r="A74" s="372"/>
      <c r="B74" s="373"/>
      <c r="C74" s="373"/>
      <c r="D74" s="373"/>
      <c r="E74" s="373"/>
      <c r="F74" s="373"/>
      <c r="G74" s="373"/>
      <c r="H74" s="373"/>
      <c r="I74" s="373"/>
      <c r="J74" s="373"/>
      <c r="K74" s="373"/>
      <c r="L74" s="373"/>
      <c r="M74" s="373"/>
      <c r="N74" s="373"/>
      <c r="O74" s="373"/>
      <c r="P74" s="373"/>
      <c r="Q74" s="373"/>
      <c r="R74" s="373"/>
      <c r="S74" s="373"/>
      <c r="T74" s="373"/>
      <c r="U74" s="373"/>
      <c r="V74" s="373"/>
      <c r="W74" s="373"/>
      <c r="X74" s="373"/>
      <c r="Y74" s="373"/>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0" t="s">
        <v>86</v>
      </c>
      <c r="B76" s="371"/>
      <c r="C76" s="371"/>
      <c r="D76" s="371"/>
      <c r="E76" s="371"/>
      <c r="F76" s="371"/>
      <c r="G76" s="371"/>
      <c r="H76" s="371"/>
      <c r="I76" s="371"/>
      <c r="J76" s="371"/>
      <c r="K76" s="371"/>
      <c r="L76" s="371"/>
      <c r="M76" s="371"/>
      <c r="N76" s="371"/>
      <c r="O76" s="371"/>
      <c r="P76" s="371"/>
      <c r="Q76" s="371"/>
      <c r="R76" s="371"/>
      <c r="S76" s="371"/>
      <c r="T76" s="371"/>
      <c r="U76" s="371"/>
      <c r="V76" s="371"/>
      <c r="W76" s="371"/>
      <c r="X76" s="371"/>
      <c r="Y76" s="371"/>
      <c r="Z76" s="18"/>
      <c r="AA76" s="18"/>
      <c r="AB76" s="18"/>
      <c r="AC76" s="18"/>
      <c r="AD76" s="18"/>
      <c r="AE76" s="18"/>
      <c r="AF76" s="18"/>
      <c r="AG76" s="18"/>
      <c r="AH76" s="18"/>
      <c r="AI76" s="18"/>
      <c r="AJ76" s="17"/>
    </row>
    <row r="77" spans="1:36" s="14" customFormat="1" ht="15.75" customHeight="1" x14ac:dyDescent="0.2">
      <c r="A77" s="379" t="s">
        <v>236</v>
      </c>
      <c r="B77" s="380"/>
      <c r="C77" s="380"/>
      <c r="D77" s="380"/>
      <c r="E77" s="380"/>
      <c r="F77" s="380"/>
      <c r="G77" s="380"/>
      <c r="H77" s="380"/>
      <c r="I77" s="380"/>
      <c r="J77" s="380"/>
      <c r="K77" s="380"/>
      <c r="L77" s="380"/>
      <c r="M77" s="380"/>
      <c r="N77" s="380"/>
      <c r="O77" s="380"/>
      <c r="P77" s="380"/>
      <c r="Q77" s="380"/>
      <c r="R77" s="380"/>
      <c r="S77" s="380"/>
      <c r="T77" s="380"/>
      <c r="U77" s="380"/>
      <c r="V77" s="380"/>
      <c r="W77" s="380"/>
      <c r="X77" s="380"/>
      <c r="Y77" s="380"/>
      <c r="Z77" s="16"/>
      <c r="AA77" s="16"/>
      <c r="AB77" s="16"/>
      <c r="AC77" s="16"/>
      <c r="AD77" s="16"/>
      <c r="AE77" s="16"/>
      <c r="AF77" s="16"/>
      <c r="AG77" s="16"/>
      <c r="AH77" s="16"/>
      <c r="AI77" s="16"/>
      <c r="AJ77" s="16"/>
    </row>
    <row r="78" spans="1:36" s="14" customFormat="1" ht="15.75" customHeight="1" x14ac:dyDescent="0.25">
      <c r="A78" s="15"/>
      <c r="B78" s="368" t="s">
        <v>288</v>
      </c>
      <c r="C78" s="369"/>
      <c r="D78" s="369"/>
      <c r="E78" s="369"/>
      <c r="F78" s="369"/>
      <c r="G78" s="369"/>
      <c r="H78" s="369"/>
      <c r="I78" s="369"/>
      <c r="J78" s="369"/>
      <c r="K78" s="369"/>
      <c r="L78" s="369"/>
      <c r="M78" s="369"/>
      <c r="N78" s="369"/>
      <c r="O78" s="369"/>
      <c r="P78" s="369"/>
      <c r="Q78" s="369"/>
      <c r="R78" s="369"/>
      <c r="S78" s="369"/>
      <c r="T78" s="369"/>
      <c r="U78" s="369"/>
      <c r="V78" s="369"/>
      <c r="W78" s="369"/>
      <c r="X78" s="369"/>
      <c r="Y78" s="369"/>
      <c r="Z78" s="16"/>
      <c r="AA78" s="16"/>
      <c r="AB78" s="16"/>
      <c r="AC78" s="16"/>
      <c r="AD78" s="16"/>
      <c r="AE78" s="16"/>
      <c r="AF78" s="16"/>
      <c r="AG78" s="16"/>
      <c r="AH78" s="16"/>
      <c r="AI78" s="16"/>
      <c r="AJ78" s="16"/>
    </row>
    <row r="79" spans="1:36" s="14" customFormat="1" ht="33" customHeight="1" x14ac:dyDescent="0.25">
      <c r="A79" s="15"/>
      <c r="B79" s="368"/>
      <c r="C79" s="369"/>
      <c r="D79" s="369"/>
      <c r="E79" s="369"/>
      <c r="F79" s="369"/>
      <c r="G79" s="369"/>
      <c r="H79" s="369"/>
      <c r="I79" s="369"/>
      <c r="J79" s="369"/>
      <c r="K79" s="369"/>
      <c r="L79" s="369"/>
      <c r="M79" s="369"/>
      <c r="N79" s="369"/>
      <c r="O79" s="369"/>
      <c r="P79" s="369"/>
      <c r="Q79" s="369"/>
      <c r="R79" s="369"/>
      <c r="S79" s="369"/>
      <c r="T79" s="369"/>
      <c r="U79" s="369"/>
      <c r="V79" s="369"/>
      <c r="W79" s="369"/>
      <c r="X79" s="369"/>
      <c r="Y79" s="369"/>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234</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233</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4"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T1251"/>
  <sheetViews>
    <sheetView topLeftCell="A25" zoomScale="70" zoomScaleNormal="70" zoomScaleSheetLayoutView="80" zoomScalePageLayoutView="40" workbookViewId="0">
      <selection activeCell="B236" sqref="B236:M23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t="str">
        <f>Coperta!J33</f>
        <v>Arhitectură</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7" t="str">
        <f>Coperta!J25</f>
        <v>Tendinţe, materiale şi tehnologii noi în arhitectura de interior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Științe umaniste și arte</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Arhitectură și Urbanism</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8" t="str">
        <f>Coperta!J39</f>
        <v xml:space="preserve">Arhitectură </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50</v>
      </c>
      <c r="B17" s="302">
        <v>60</v>
      </c>
      <c r="C17" s="302">
        <v>10</v>
      </c>
      <c r="E17" s="96" t="s">
        <v>130</v>
      </c>
      <c r="F17" s="302">
        <v>60</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2" t="s">
        <v>27</v>
      </c>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row>
    <row r="20" spans="1:25" s="98" customFormat="1" ht="18" customHeight="1" x14ac:dyDescent="0.25">
      <c r="A20" s="404" t="str">
        <f>IF(ISBLANK($G$17),"Pentru seria de studenti 20XX-20YY",CONCATENATE("Pentru seria de studenti 20",$G$17,-20,$G$17+2))</f>
        <v>Pentru seria de studenti 2022-2024</v>
      </c>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row>
    <row r="21" spans="1:25" s="70" customFormat="1" ht="21" customHeight="1" thickBot="1" x14ac:dyDescent="0.25">
      <c r="A21" s="483" t="str">
        <f>IF(ISBLANK($G$17),"ANUL I",CONCATENATE("ANUL I (20",$G$17,-20,$G$17+1,")"))</f>
        <v>ANUL I (2022-2023)</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row>
    <row r="22" spans="1:25" s="70" customFormat="1" ht="21" customHeight="1" thickTop="1" thickBot="1" x14ac:dyDescent="0.25">
      <c r="A22" s="99"/>
      <c r="B22" s="406" t="s">
        <v>0</v>
      </c>
      <c r="C22" s="407"/>
      <c r="D22" s="407"/>
      <c r="E22" s="407"/>
      <c r="F22" s="407"/>
      <c r="G22" s="407"/>
      <c r="H22" s="407"/>
      <c r="I22" s="407"/>
      <c r="J22" s="407"/>
      <c r="K22" s="407"/>
      <c r="L22" s="407"/>
      <c r="M22" s="408"/>
      <c r="N22" s="407" t="s">
        <v>1</v>
      </c>
      <c r="O22" s="407"/>
      <c r="P22" s="407"/>
      <c r="Q22" s="407"/>
      <c r="R22" s="407"/>
      <c r="S22" s="407"/>
      <c r="T22" s="407"/>
      <c r="U22" s="407"/>
      <c r="V22" s="407"/>
      <c r="W22" s="407"/>
      <c r="X22" s="407"/>
      <c r="Y22" s="408"/>
    </row>
    <row r="23" spans="1:25" s="100" customFormat="1" ht="21" customHeight="1" thickTop="1" x14ac:dyDescent="0.2">
      <c r="A23" s="388" t="s">
        <v>28</v>
      </c>
      <c r="B23" s="440" t="s">
        <v>289</v>
      </c>
      <c r="C23" s="441"/>
      <c r="D23" s="441"/>
      <c r="E23" s="441"/>
      <c r="F23" s="441"/>
      <c r="G23" s="441"/>
      <c r="H23" s="441"/>
      <c r="I23" s="441"/>
      <c r="J23" s="441"/>
      <c r="K23" s="441"/>
      <c r="L23" s="441"/>
      <c r="M23" s="442"/>
      <c r="N23" s="441" t="s">
        <v>295</v>
      </c>
      <c r="O23" s="441"/>
      <c r="P23" s="441"/>
      <c r="Q23" s="441"/>
      <c r="R23" s="441"/>
      <c r="S23" s="441"/>
      <c r="T23" s="441"/>
      <c r="U23" s="441"/>
      <c r="V23" s="441"/>
      <c r="W23" s="441"/>
      <c r="X23" s="441"/>
      <c r="Y23" s="442"/>
    </row>
    <row r="24" spans="1:25" s="100" customFormat="1" ht="21" customHeight="1" x14ac:dyDescent="0.2">
      <c r="A24" s="388"/>
      <c r="B24" s="443"/>
      <c r="C24" s="444"/>
      <c r="D24" s="444"/>
      <c r="E24" s="444"/>
      <c r="F24" s="444"/>
      <c r="G24" s="444"/>
      <c r="H24" s="444"/>
      <c r="I24" s="444"/>
      <c r="J24" s="444"/>
      <c r="K24" s="444"/>
      <c r="L24" s="444"/>
      <c r="M24" s="445"/>
      <c r="N24" s="444"/>
      <c r="O24" s="444"/>
      <c r="P24" s="444"/>
      <c r="Q24" s="444"/>
      <c r="R24" s="444"/>
      <c r="S24" s="444"/>
      <c r="T24" s="444"/>
      <c r="U24" s="444"/>
      <c r="V24" s="444"/>
      <c r="W24" s="444"/>
      <c r="X24" s="444"/>
      <c r="Y24" s="445"/>
    </row>
    <row r="25" spans="1:25" s="100" customFormat="1" ht="21" customHeight="1" thickBot="1" x14ac:dyDescent="0.25">
      <c r="A25" s="389"/>
      <c r="B25" s="396" t="str">
        <f>IF(ISBLANK(B23),"",CONCATENATE($E$17,$F$17,".",$G$17,".","0",RIGHT($B$22,1),".",RIGHT(L25,1),$A23,IF(COUNTIFS(B23,"*op?ional*")=1,"-ij","")))</f>
        <v>M60.22.01.S1</v>
      </c>
      <c r="C25" s="397"/>
      <c r="D25" s="398"/>
      <c r="E25" s="303">
        <v>8</v>
      </c>
      <c r="F25" s="304" t="s">
        <v>267</v>
      </c>
      <c r="G25" s="305">
        <v>14</v>
      </c>
      <c r="H25" s="306">
        <v>0</v>
      </c>
      <c r="I25" s="306">
        <v>0</v>
      </c>
      <c r="J25" s="306">
        <v>42</v>
      </c>
      <c r="K25" s="307"/>
      <c r="L25" s="308" t="s">
        <v>151</v>
      </c>
      <c r="M25" s="309">
        <v>144</v>
      </c>
      <c r="N25" s="396" t="str">
        <f>IF(ISBLANK(N23),"",CONCATENATE($E$17,$F$17,".",$G$17,".","0",RIGHT($N$22,1),".",RIGHT(X25,1),$A23,IF(COUNTIFS(N23,"*op?ional*")=1,"-ij","")))</f>
        <v>M60.22.02.S1</v>
      </c>
      <c r="O25" s="397"/>
      <c r="P25" s="398"/>
      <c r="Q25" s="366">
        <v>8</v>
      </c>
      <c r="R25" s="361" t="s">
        <v>267</v>
      </c>
      <c r="S25" s="365">
        <v>14</v>
      </c>
      <c r="T25" s="362">
        <v>0</v>
      </c>
      <c r="U25" s="362">
        <v>0</v>
      </c>
      <c r="V25" s="363">
        <v>42</v>
      </c>
      <c r="W25" s="307"/>
      <c r="X25" s="308" t="s">
        <v>151</v>
      </c>
      <c r="Y25" s="367">
        <v>144</v>
      </c>
    </row>
    <row r="26" spans="1:25" s="100" customFormat="1" ht="21" customHeight="1" thickTop="1" x14ac:dyDescent="0.2">
      <c r="A26" s="387" t="s">
        <v>29</v>
      </c>
      <c r="B26" s="440" t="s">
        <v>290</v>
      </c>
      <c r="C26" s="441"/>
      <c r="D26" s="441"/>
      <c r="E26" s="441"/>
      <c r="F26" s="441"/>
      <c r="G26" s="441"/>
      <c r="H26" s="441"/>
      <c r="I26" s="441"/>
      <c r="J26" s="441"/>
      <c r="K26" s="441"/>
      <c r="L26" s="441"/>
      <c r="M26" s="442"/>
      <c r="N26" s="441" t="s">
        <v>296</v>
      </c>
      <c r="O26" s="441"/>
      <c r="P26" s="441"/>
      <c r="Q26" s="441"/>
      <c r="R26" s="441"/>
      <c r="S26" s="441"/>
      <c r="T26" s="441"/>
      <c r="U26" s="441"/>
      <c r="V26" s="441"/>
      <c r="W26" s="441"/>
      <c r="X26" s="441"/>
      <c r="Y26" s="442"/>
    </row>
    <row r="27" spans="1:25" s="100" customFormat="1" ht="21" customHeight="1" x14ac:dyDescent="0.2">
      <c r="A27" s="388"/>
      <c r="B27" s="443"/>
      <c r="C27" s="444"/>
      <c r="D27" s="444"/>
      <c r="E27" s="444"/>
      <c r="F27" s="444"/>
      <c r="G27" s="444"/>
      <c r="H27" s="444"/>
      <c r="I27" s="444"/>
      <c r="J27" s="444"/>
      <c r="K27" s="444"/>
      <c r="L27" s="444"/>
      <c r="M27" s="445"/>
      <c r="N27" s="444"/>
      <c r="O27" s="444"/>
      <c r="P27" s="444"/>
      <c r="Q27" s="444"/>
      <c r="R27" s="444"/>
      <c r="S27" s="444"/>
      <c r="T27" s="444"/>
      <c r="U27" s="444"/>
      <c r="V27" s="444"/>
      <c r="W27" s="444"/>
      <c r="X27" s="444"/>
      <c r="Y27" s="445"/>
    </row>
    <row r="28" spans="1:25" s="100" customFormat="1" ht="21" customHeight="1" thickBot="1" x14ac:dyDescent="0.25">
      <c r="A28" s="389"/>
      <c r="B28" s="396" t="str">
        <f>IF(ISBLANK(B26),"",CONCATENATE($E$17,$F$17,".",$G$17,".","0",RIGHT($B$22,1),".",RIGHT(L28,1),$A26,IF(COUNTIFS(B26,"*op?ional*")=1,"-ij","")))</f>
        <v>M60.22.01.A2</v>
      </c>
      <c r="C28" s="397"/>
      <c r="D28" s="398"/>
      <c r="E28" s="304">
        <v>4</v>
      </c>
      <c r="F28" s="361" t="s">
        <v>4</v>
      </c>
      <c r="G28" s="306">
        <v>28</v>
      </c>
      <c r="H28" s="362">
        <v>0</v>
      </c>
      <c r="I28" s="362">
        <v>0</v>
      </c>
      <c r="J28" s="363">
        <v>0</v>
      </c>
      <c r="K28" s="307"/>
      <c r="L28" s="308" t="s">
        <v>298</v>
      </c>
      <c r="M28" s="360">
        <v>72</v>
      </c>
      <c r="N28" s="396" t="str">
        <f>IF(ISBLANK(N26),"",CONCATENATE($E$17,$F$17,".",$G$17,".","0",RIGHT($N$22,1),".",RIGHT(X28,1),$A26,IF(COUNTIFS(N26,"*op?ional*")=1,"-ij","")))</f>
        <v>M60.22.02.A2</v>
      </c>
      <c r="O28" s="397"/>
      <c r="P28" s="398"/>
      <c r="Q28" s="366">
        <v>3</v>
      </c>
      <c r="R28" s="361" t="s">
        <v>4</v>
      </c>
      <c r="S28" s="365">
        <v>28</v>
      </c>
      <c r="T28" s="362">
        <v>0</v>
      </c>
      <c r="U28" s="362">
        <v>0</v>
      </c>
      <c r="V28" s="363">
        <v>0</v>
      </c>
      <c r="W28" s="307"/>
      <c r="X28" s="308" t="s">
        <v>298</v>
      </c>
      <c r="Y28" s="360">
        <v>47</v>
      </c>
    </row>
    <row r="29" spans="1:25" s="100" customFormat="1" ht="21" customHeight="1" thickTop="1" x14ac:dyDescent="0.2">
      <c r="A29" s="387" t="s">
        <v>30</v>
      </c>
      <c r="B29" s="440" t="s">
        <v>291</v>
      </c>
      <c r="C29" s="441"/>
      <c r="D29" s="441"/>
      <c r="E29" s="441"/>
      <c r="F29" s="441"/>
      <c r="G29" s="441"/>
      <c r="H29" s="441"/>
      <c r="I29" s="441"/>
      <c r="J29" s="441"/>
      <c r="K29" s="441"/>
      <c r="L29" s="441"/>
      <c r="M29" s="442"/>
      <c r="N29" s="441" t="s">
        <v>297</v>
      </c>
      <c r="O29" s="441"/>
      <c r="P29" s="441"/>
      <c r="Q29" s="441"/>
      <c r="R29" s="441"/>
      <c r="S29" s="441"/>
      <c r="T29" s="441"/>
      <c r="U29" s="441"/>
      <c r="V29" s="441"/>
      <c r="W29" s="441"/>
      <c r="X29" s="441"/>
      <c r="Y29" s="442"/>
    </row>
    <row r="30" spans="1:25" s="100" customFormat="1" ht="21" customHeight="1" x14ac:dyDescent="0.2">
      <c r="A30" s="388"/>
      <c r="B30" s="443"/>
      <c r="C30" s="444"/>
      <c r="D30" s="444"/>
      <c r="E30" s="444"/>
      <c r="F30" s="444"/>
      <c r="G30" s="444"/>
      <c r="H30" s="444"/>
      <c r="I30" s="444"/>
      <c r="J30" s="444"/>
      <c r="K30" s="444"/>
      <c r="L30" s="444"/>
      <c r="M30" s="445"/>
      <c r="N30" s="444"/>
      <c r="O30" s="444"/>
      <c r="P30" s="444"/>
      <c r="Q30" s="444"/>
      <c r="R30" s="444"/>
      <c r="S30" s="444"/>
      <c r="T30" s="444"/>
      <c r="U30" s="444"/>
      <c r="V30" s="444"/>
      <c r="W30" s="444"/>
      <c r="X30" s="444"/>
      <c r="Y30" s="445"/>
    </row>
    <row r="31" spans="1:25" s="100" customFormat="1" ht="21" customHeight="1" thickBot="1" x14ac:dyDescent="0.25">
      <c r="A31" s="389"/>
      <c r="B31" s="396" t="str">
        <f>IF(ISBLANK(B29),"",CONCATENATE($E$17,$F$17,".",$G$17,".","0",RIGHT($B$22,1),".",RIGHT(L31,1),$A29,IF(COUNTIFS(B29,"*op?ional*")=1,"-ij","")))</f>
        <v>M60.22.01.A3</v>
      </c>
      <c r="C31" s="397"/>
      <c r="D31" s="398"/>
      <c r="E31" s="364">
        <v>5</v>
      </c>
      <c r="F31" s="361" t="s">
        <v>4</v>
      </c>
      <c r="G31" s="365">
        <v>28</v>
      </c>
      <c r="H31" s="362">
        <v>14</v>
      </c>
      <c r="I31" s="362">
        <v>0</v>
      </c>
      <c r="J31" s="363">
        <v>0</v>
      </c>
      <c r="K31" s="307"/>
      <c r="L31" s="308" t="s">
        <v>298</v>
      </c>
      <c r="M31" s="309">
        <v>83</v>
      </c>
      <c r="N31" s="396" t="str">
        <f>IF(ISBLANK(N29),"",CONCATENATE($E$17,$F$17,".",$G$17,".","0",RIGHT($N$22,1),".",RIGHT(X31,1),$A29,IF(COUNTIFS(N29,"*op?ional*")=1,"-ij","")))</f>
        <v>M60.22.02.A3</v>
      </c>
      <c r="O31" s="397"/>
      <c r="P31" s="398"/>
      <c r="Q31" s="364">
        <v>5</v>
      </c>
      <c r="R31" s="361" t="s">
        <v>4</v>
      </c>
      <c r="S31" s="365">
        <v>28</v>
      </c>
      <c r="T31" s="362">
        <v>14</v>
      </c>
      <c r="U31" s="362">
        <v>0</v>
      </c>
      <c r="V31" s="363">
        <v>0</v>
      </c>
      <c r="W31" s="307"/>
      <c r="X31" s="308" t="s">
        <v>298</v>
      </c>
      <c r="Y31" s="309">
        <v>83</v>
      </c>
    </row>
    <row r="32" spans="1:25" s="100" customFormat="1" ht="21" customHeight="1" thickTop="1" x14ac:dyDescent="0.2">
      <c r="A32" s="387" t="s">
        <v>31</v>
      </c>
      <c r="B32" s="440" t="s">
        <v>292</v>
      </c>
      <c r="C32" s="441"/>
      <c r="D32" s="441"/>
      <c r="E32" s="441"/>
      <c r="F32" s="441"/>
      <c r="G32" s="441"/>
      <c r="H32" s="441"/>
      <c r="I32" s="441"/>
      <c r="J32" s="441"/>
      <c r="K32" s="441"/>
      <c r="L32" s="441"/>
      <c r="M32" s="442"/>
      <c r="N32" s="441" t="s">
        <v>299</v>
      </c>
      <c r="O32" s="441"/>
      <c r="P32" s="441"/>
      <c r="Q32" s="441"/>
      <c r="R32" s="441"/>
      <c r="S32" s="441"/>
      <c r="T32" s="441"/>
      <c r="U32" s="441"/>
      <c r="V32" s="441"/>
      <c r="W32" s="441"/>
      <c r="X32" s="441"/>
      <c r="Y32" s="442"/>
    </row>
    <row r="33" spans="1:25" s="100" customFormat="1" ht="21" customHeight="1" x14ac:dyDescent="0.2">
      <c r="A33" s="388"/>
      <c r="B33" s="443"/>
      <c r="C33" s="444"/>
      <c r="D33" s="444"/>
      <c r="E33" s="444"/>
      <c r="F33" s="444"/>
      <c r="G33" s="444"/>
      <c r="H33" s="444"/>
      <c r="I33" s="444"/>
      <c r="J33" s="444"/>
      <c r="K33" s="444"/>
      <c r="L33" s="444"/>
      <c r="M33" s="445"/>
      <c r="N33" s="444"/>
      <c r="O33" s="444"/>
      <c r="P33" s="444"/>
      <c r="Q33" s="444"/>
      <c r="R33" s="444"/>
      <c r="S33" s="444"/>
      <c r="T33" s="444"/>
      <c r="U33" s="444"/>
      <c r="V33" s="444"/>
      <c r="W33" s="444"/>
      <c r="X33" s="444"/>
      <c r="Y33" s="445"/>
    </row>
    <row r="34" spans="1:25" s="100" customFormat="1" ht="21" customHeight="1" thickBot="1" x14ac:dyDescent="0.25">
      <c r="A34" s="389"/>
      <c r="B34" s="396" t="str">
        <f>IF(ISBLANK(B32),"",CONCATENATE($E$17,$F$17,".",$G$17,".","0",RIGHT($B$22,1),".",RIGHT(L34,1),$A32,IF(COUNTIFS(B32,"*op?ional*")=1,"-ij","")))</f>
        <v>M60.22.01.A4</v>
      </c>
      <c r="C34" s="397"/>
      <c r="D34" s="398"/>
      <c r="E34" s="364">
        <v>5</v>
      </c>
      <c r="F34" s="361" t="s">
        <v>4</v>
      </c>
      <c r="G34" s="365">
        <v>28</v>
      </c>
      <c r="H34" s="362">
        <v>14</v>
      </c>
      <c r="I34" s="362">
        <v>0</v>
      </c>
      <c r="J34" s="363">
        <v>0</v>
      </c>
      <c r="K34" s="307"/>
      <c r="L34" s="308" t="s">
        <v>298</v>
      </c>
      <c r="M34" s="309">
        <v>83</v>
      </c>
      <c r="N34" s="396" t="str">
        <f>IF(ISBLANK(N32),"",CONCATENATE($E$17,$F$17,".",$G$17,".","0",RIGHT($N$22,1),".",RIGHT(X34,1),$A32,IF(COUNTIFS(N32,"*op?ional*")=1,"-ij","")))</f>
        <v>M60.22.02.A4</v>
      </c>
      <c r="O34" s="397"/>
      <c r="P34" s="398"/>
      <c r="Q34" s="364">
        <v>4</v>
      </c>
      <c r="R34" s="361" t="s">
        <v>4</v>
      </c>
      <c r="S34" s="365">
        <v>28</v>
      </c>
      <c r="T34" s="362">
        <v>14</v>
      </c>
      <c r="U34" s="362">
        <v>0</v>
      </c>
      <c r="V34" s="363">
        <v>0</v>
      </c>
      <c r="W34" s="307"/>
      <c r="X34" s="308" t="s">
        <v>298</v>
      </c>
      <c r="Y34" s="309">
        <v>58</v>
      </c>
    </row>
    <row r="35" spans="1:25" s="100" customFormat="1" ht="21" customHeight="1" thickTop="1" x14ac:dyDescent="0.2">
      <c r="A35" s="387" t="s">
        <v>32</v>
      </c>
      <c r="B35" s="440" t="s">
        <v>293</v>
      </c>
      <c r="C35" s="441"/>
      <c r="D35" s="441"/>
      <c r="E35" s="441"/>
      <c r="F35" s="441"/>
      <c r="G35" s="441"/>
      <c r="H35" s="441"/>
      <c r="I35" s="441"/>
      <c r="J35" s="441"/>
      <c r="K35" s="441"/>
      <c r="L35" s="441"/>
      <c r="M35" s="442"/>
      <c r="N35" s="441" t="s">
        <v>300</v>
      </c>
      <c r="O35" s="441"/>
      <c r="P35" s="441"/>
      <c r="Q35" s="441"/>
      <c r="R35" s="441"/>
      <c r="S35" s="441"/>
      <c r="T35" s="441"/>
      <c r="U35" s="441"/>
      <c r="V35" s="441"/>
      <c r="W35" s="441"/>
      <c r="X35" s="441"/>
      <c r="Y35" s="442"/>
    </row>
    <row r="36" spans="1:25" s="100" customFormat="1" ht="21" customHeight="1" x14ac:dyDescent="0.2">
      <c r="A36" s="388"/>
      <c r="B36" s="443"/>
      <c r="C36" s="444"/>
      <c r="D36" s="444"/>
      <c r="E36" s="444"/>
      <c r="F36" s="444"/>
      <c r="G36" s="444"/>
      <c r="H36" s="444"/>
      <c r="I36" s="444"/>
      <c r="J36" s="444"/>
      <c r="K36" s="444"/>
      <c r="L36" s="444"/>
      <c r="M36" s="445"/>
      <c r="N36" s="444"/>
      <c r="O36" s="444"/>
      <c r="P36" s="444"/>
      <c r="Q36" s="444"/>
      <c r="R36" s="444"/>
      <c r="S36" s="444"/>
      <c r="T36" s="444"/>
      <c r="U36" s="444"/>
      <c r="V36" s="444"/>
      <c r="W36" s="444"/>
      <c r="X36" s="444"/>
      <c r="Y36" s="445"/>
    </row>
    <row r="37" spans="1:25" s="100" customFormat="1" ht="21" customHeight="1" thickBot="1" x14ac:dyDescent="0.25">
      <c r="A37" s="389"/>
      <c r="B37" s="396" t="str">
        <f>IF(ISBLANK(B35),"",CONCATENATE($E$17,$F$17,".",$G$17,".","0",RIGHT($B$22,1),".",RIGHT(L37,1),$A35,IF(COUNTIFS(B35,"*op?ional*")=1,"-ij","")))</f>
        <v>M60.22.01.S5-ij</v>
      </c>
      <c r="C37" s="397"/>
      <c r="D37" s="398"/>
      <c r="E37" s="366">
        <v>4</v>
      </c>
      <c r="F37" s="361" t="s">
        <v>4</v>
      </c>
      <c r="G37" s="365">
        <v>28</v>
      </c>
      <c r="H37" s="362">
        <v>0</v>
      </c>
      <c r="I37" s="362">
        <v>0</v>
      </c>
      <c r="J37" s="363">
        <v>0</v>
      </c>
      <c r="K37" s="312"/>
      <c r="L37" s="308" t="s">
        <v>151</v>
      </c>
      <c r="M37" s="360">
        <v>72</v>
      </c>
      <c r="N37" s="396" t="str">
        <f>IF(ISBLANK(N35),"",CONCATENATE($E$17,$F$17,".",$G$17,".","0",RIGHT($N$22,1),".",RIGHT(X37,1),$A35,IF(COUNTIFS(N35,"*op?ional*")=1,"-ij","")))</f>
        <v>M60.22.02.S5-ij</v>
      </c>
      <c r="O37" s="397"/>
      <c r="P37" s="398"/>
      <c r="Q37" s="364">
        <v>3</v>
      </c>
      <c r="R37" s="361" t="s">
        <v>4</v>
      </c>
      <c r="S37" s="365">
        <v>28</v>
      </c>
      <c r="T37" s="362">
        <v>0</v>
      </c>
      <c r="U37" s="362">
        <v>0</v>
      </c>
      <c r="V37" s="363">
        <v>0</v>
      </c>
      <c r="W37" s="307"/>
      <c r="X37" s="308" t="s">
        <v>151</v>
      </c>
      <c r="Y37" s="309">
        <v>47</v>
      </c>
    </row>
    <row r="38" spans="1:25" s="100" customFormat="1" ht="21" customHeight="1" thickTop="1" x14ac:dyDescent="0.2">
      <c r="A38" s="387" t="s">
        <v>50</v>
      </c>
      <c r="B38" s="440" t="s">
        <v>294</v>
      </c>
      <c r="C38" s="441"/>
      <c r="D38" s="441"/>
      <c r="E38" s="441"/>
      <c r="F38" s="441"/>
      <c r="G38" s="441"/>
      <c r="H38" s="441"/>
      <c r="I38" s="441"/>
      <c r="J38" s="441"/>
      <c r="K38" s="441"/>
      <c r="L38" s="441"/>
      <c r="M38" s="442"/>
      <c r="N38" s="441" t="s">
        <v>301</v>
      </c>
      <c r="O38" s="441"/>
      <c r="P38" s="441"/>
      <c r="Q38" s="441"/>
      <c r="R38" s="441"/>
      <c r="S38" s="441"/>
      <c r="T38" s="441"/>
      <c r="U38" s="441"/>
      <c r="V38" s="441"/>
      <c r="W38" s="441"/>
      <c r="X38" s="441"/>
      <c r="Y38" s="442"/>
    </row>
    <row r="39" spans="1:25" s="100" customFormat="1" ht="21" customHeight="1" x14ac:dyDescent="0.2">
      <c r="A39" s="388"/>
      <c r="B39" s="443"/>
      <c r="C39" s="444"/>
      <c r="D39" s="444"/>
      <c r="E39" s="444"/>
      <c r="F39" s="444"/>
      <c r="G39" s="444"/>
      <c r="H39" s="444"/>
      <c r="I39" s="444"/>
      <c r="J39" s="444"/>
      <c r="K39" s="444"/>
      <c r="L39" s="444"/>
      <c r="M39" s="445"/>
      <c r="N39" s="444"/>
      <c r="O39" s="444"/>
      <c r="P39" s="444"/>
      <c r="Q39" s="444"/>
      <c r="R39" s="444"/>
      <c r="S39" s="444"/>
      <c r="T39" s="444"/>
      <c r="U39" s="444"/>
      <c r="V39" s="444"/>
      <c r="W39" s="444"/>
      <c r="X39" s="444"/>
      <c r="Y39" s="445"/>
    </row>
    <row r="40" spans="1:25" s="100" customFormat="1" ht="21" customHeight="1" thickBot="1" x14ac:dyDescent="0.25">
      <c r="A40" s="389"/>
      <c r="B40" s="396" t="str">
        <f>IF(ISBLANK(B38),"",CONCATENATE($E$17,$F$17,".",$G$17,".","0",RIGHT($B$22,1),".",RIGHT(L40,1),$A38,IF(COUNTIFS(B38,"*op?ional*")=1,"-ij","")))</f>
        <v>M60.22.01.S6-ij</v>
      </c>
      <c r="C40" s="397"/>
      <c r="D40" s="398"/>
      <c r="E40" s="366">
        <v>4</v>
      </c>
      <c r="F40" s="361" t="s">
        <v>4</v>
      </c>
      <c r="G40" s="365">
        <v>28</v>
      </c>
      <c r="H40" s="362">
        <v>0</v>
      </c>
      <c r="I40" s="362">
        <v>0</v>
      </c>
      <c r="J40" s="363">
        <v>0</v>
      </c>
      <c r="K40" s="307"/>
      <c r="L40" s="308" t="s">
        <v>151</v>
      </c>
      <c r="M40" s="360">
        <v>72</v>
      </c>
      <c r="N40" s="396" t="str">
        <f>IF(ISBLANK(N38),"",CONCATENATE($E$17,$F$17,".",$G$17,".","0",RIGHT($N$22,1),".",RIGHT(X40,1),$A38,IF(COUNTIFS(N38,"*op?ional*")=1,"-ij","")))</f>
        <v>M60.22.02.S6-ij</v>
      </c>
      <c r="O40" s="397"/>
      <c r="P40" s="398"/>
      <c r="Q40" s="364">
        <v>3</v>
      </c>
      <c r="R40" s="361" t="s">
        <v>4</v>
      </c>
      <c r="S40" s="365">
        <v>14</v>
      </c>
      <c r="T40" s="362">
        <v>14</v>
      </c>
      <c r="U40" s="362">
        <v>0</v>
      </c>
      <c r="V40" s="363">
        <v>0</v>
      </c>
      <c r="W40" s="312"/>
      <c r="X40" s="308" t="s">
        <v>151</v>
      </c>
      <c r="Y40" s="309">
        <v>47</v>
      </c>
    </row>
    <row r="41" spans="1:25" s="100" customFormat="1" ht="21" customHeight="1" thickTop="1" x14ac:dyDescent="0.2">
      <c r="A41" s="387" t="s">
        <v>51</v>
      </c>
      <c r="B41" s="440"/>
      <c r="C41" s="441"/>
      <c r="D41" s="441"/>
      <c r="E41" s="441"/>
      <c r="F41" s="441"/>
      <c r="G41" s="441"/>
      <c r="H41" s="441"/>
      <c r="I41" s="441"/>
      <c r="J41" s="441"/>
      <c r="K41" s="441"/>
      <c r="L41" s="441"/>
      <c r="M41" s="442"/>
      <c r="N41" s="440" t="s">
        <v>302</v>
      </c>
      <c r="O41" s="441"/>
      <c r="P41" s="441"/>
      <c r="Q41" s="441"/>
      <c r="R41" s="441"/>
      <c r="S41" s="441"/>
      <c r="T41" s="441"/>
      <c r="U41" s="441"/>
      <c r="V41" s="441"/>
      <c r="W41" s="441"/>
      <c r="X41" s="441"/>
      <c r="Y41" s="442"/>
    </row>
    <row r="42" spans="1:25" s="100" customFormat="1" ht="21" customHeight="1" x14ac:dyDescent="0.2">
      <c r="A42" s="388"/>
      <c r="B42" s="443"/>
      <c r="C42" s="444"/>
      <c r="D42" s="444"/>
      <c r="E42" s="444"/>
      <c r="F42" s="444"/>
      <c r="G42" s="444"/>
      <c r="H42" s="444"/>
      <c r="I42" s="444"/>
      <c r="J42" s="444"/>
      <c r="K42" s="444"/>
      <c r="L42" s="444"/>
      <c r="M42" s="445"/>
      <c r="N42" s="443"/>
      <c r="O42" s="444"/>
      <c r="P42" s="444"/>
      <c r="Q42" s="444"/>
      <c r="R42" s="444"/>
      <c r="S42" s="444"/>
      <c r="T42" s="444"/>
      <c r="U42" s="444"/>
      <c r="V42" s="444"/>
      <c r="W42" s="444"/>
      <c r="X42" s="444"/>
      <c r="Y42" s="445"/>
    </row>
    <row r="43" spans="1:25" s="100" customFormat="1" ht="21" customHeight="1" thickBot="1" x14ac:dyDescent="0.25">
      <c r="A43" s="389"/>
      <c r="B43" s="396" t="str">
        <f>IF(ISBLANK(B41),"",CONCATENATE($E$17,$F$17,".",$G$17,".","0",RIGHT($B$22,1),".",RIGHT(L43,1),$A41,IF(COUNTIFS(B41,"*op?ional*")=1,"-ij","")))</f>
        <v/>
      </c>
      <c r="C43" s="397"/>
      <c r="D43" s="398"/>
      <c r="E43" s="308"/>
      <c r="F43" s="308"/>
      <c r="G43" s="310"/>
      <c r="H43" s="311"/>
      <c r="I43" s="311"/>
      <c r="J43" s="311"/>
      <c r="K43" s="312"/>
      <c r="L43" s="308"/>
      <c r="M43" s="309"/>
      <c r="N43" s="396" t="str">
        <f>IF(ISBLANK(N41),"",CONCATENATE($E$17,$F$17,".",$G$17,".","0",RIGHT($N$22,1),".",RIGHT(X43,1),$A41,IF(COUNTIFS(N41,"*op?ional*")=1,"-ij","")))</f>
        <v>M60.22.02.S7</v>
      </c>
      <c r="O43" s="397"/>
      <c r="P43" s="398"/>
      <c r="Q43" s="364">
        <v>4</v>
      </c>
      <c r="R43" s="361" t="s">
        <v>267</v>
      </c>
      <c r="S43" s="365">
        <v>0</v>
      </c>
      <c r="T43" s="362">
        <v>0</v>
      </c>
      <c r="U43" s="362">
        <v>0</v>
      </c>
      <c r="V43" s="363">
        <v>0</v>
      </c>
      <c r="W43" s="307">
        <v>100</v>
      </c>
      <c r="X43" s="308" t="s">
        <v>151</v>
      </c>
      <c r="Y43" s="307">
        <v>0</v>
      </c>
    </row>
    <row r="44" spans="1:25" s="100" customFormat="1" ht="21" customHeight="1" thickTop="1" x14ac:dyDescent="0.2">
      <c r="A44" s="387" t="s">
        <v>211</v>
      </c>
      <c r="B44" s="440"/>
      <c r="C44" s="441"/>
      <c r="D44" s="441"/>
      <c r="E44" s="441"/>
      <c r="F44" s="441"/>
      <c r="G44" s="441"/>
      <c r="H44" s="441"/>
      <c r="I44" s="441"/>
      <c r="J44" s="441"/>
      <c r="K44" s="441"/>
      <c r="L44" s="441"/>
      <c r="M44" s="442"/>
      <c r="N44" s="440"/>
      <c r="O44" s="441"/>
      <c r="P44" s="441"/>
      <c r="Q44" s="441"/>
      <c r="R44" s="441"/>
      <c r="S44" s="441"/>
      <c r="T44" s="441"/>
      <c r="U44" s="441"/>
      <c r="V44" s="441"/>
      <c r="W44" s="441"/>
      <c r="X44" s="441"/>
      <c r="Y44" s="442"/>
    </row>
    <row r="45" spans="1:25" s="100" customFormat="1" ht="21" customHeight="1" x14ac:dyDescent="0.2">
      <c r="A45" s="388"/>
      <c r="B45" s="443"/>
      <c r="C45" s="444"/>
      <c r="D45" s="444"/>
      <c r="E45" s="444"/>
      <c r="F45" s="444"/>
      <c r="G45" s="444"/>
      <c r="H45" s="444"/>
      <c r="I45" s="444"/>
      <c r="J45" s="444"/>
      <c r="K45" s="444"/>
      <c r="L45" s="444"/>
      <c r="M45" s="445"/>
      <c r="N45" s="443"/>
      <c r="O45" s="444"/>
      <c r="P45" s="444"/>
      <c r="Q45" s="444"/>
      <c r="R45" s="444"/>
      <c r="S45" s="444"/>
      <c r="T45" s="444"/>
      <c r="U45" s="444"/>
      <c r="V45" s="444"/>
      <c r="W45" s="444"/>
      <c r="X45" s="444"/>
      <c r="Y45" s="445"/>
    </row>
    <row r="46" spans="1:25" s="100" customFormat="1" ht="21" customHeight="1" thickBot="1" x14ac:dyDescent="0.25">
      <c r="A46" s="389"/>
      <c r="B46" s="396" t="str">
        <f>IF(ISBLANK(B44),"",CONCATENATE($E$17,$F$17,".",$G$17,".","0",RIGHT($B$22,1),".",RIGHT(L46,1),$A44,IF(COUNTIFS(B44,"*op?ional*")=1,"-ij","")))</f>
        <v/>
      </c>
      <c r="C46" s="397"/>
      <c r="D46" s="398"/>
      <c r="E46" s="308"/>
      <c r="F46" s="308"/>
      <c r="G46" s="310"/>
      <c r="H46" s="311"/>
      <c r="I46" s="311"/>
      <c r="J46" s="311"/>
      <c r="K46" s="312"/>
      <c r="L46" s="308"/>
      <c r="M46" s="309"/>
      <c r="N46" s="396" t="str">
        <f>IF(ISBLANK(N44),"",CONCATENATE($E$17,$F$17,".",$G$17,".","0",RIGHT($N$22,1),".",RIGHT(X46,1),$A44,IF(COUNTIFS(N44,"*op?ional*")=1,"-ij","")))</f>
        <v/>
      </c>
      <c r="O46" s="397"/>
      <c r="P46" s="398"/>
      <c r="Q46" s="304"/>
      <c r="R46" s="304"/>
      <c r="S46" s="305"/>
      <c r="T46" s="306"/>
      <c r="U46" s="306"/>
      <c r="V46" s="306"/>
      <c r="W46" s="307"/>
      <c r="X46" s="308"/>
      <c r="Y46" s="309"/>
    </row>
    <row r="47" spans="1:25" s="100" customFormat="1" ht="21" customHeight="1" thickTop="1" x14ac:dyDescent="0.2">
      <c r="A47" s="387" t="s">
        <v>212</v>
      </c>
      <c r="B47" s="440"/>
      <c r="C47" s="441"/>
      <c r="D47" s="441"/>
      <c r="E47" s="441"/>
      <c r="F47" s="441"/>
      <c r="G47" s="441"/>
      <c r="H47" s="441"/>
      <c r="I47" s="441"/>
      <c r="J47" s="441"/>
      <c r="K47" s="441"/>
      <c r="L47" s="441"/>
      <c r="M47" s="442"/>
      <c r="N47" s="440"/>
      <c r="O47" s="441"/>
      <c r="P47" s="441"/>
      <c r="Q47" s="441"/>
      <c r="R47" s="441"/>
      <c r="S47" s="441"/>
      <c r="T47" s="441"/>
      <c r="U47" s="441"/>
      <c r="V47" s="441"/>
      <c r="W47" s="441"/>
      <c r="X47" s="441"/>
      <c r="Y47" s="442"/>
    </row>
    <row r="48" spans="1:25" s="100" customFormat="1" ht="21" customHeight="1" x14ac:dyDescent="0.2">
      <c r="A48" s="388"/>
      <c r="B48" s="443"/>
      <c r="C48" s="444"/>
      <c r="D48" s="444"/>
      <c r="E48" s="444"/>
      <c r="F48" s="444"/>
      <c r="G48" s="444"/>
      <c r="H48" s="444"/>
      <c r="I48" s="444"/>
      <c r="J48" s="444"/>
      <c r="K48" s="444"/>
      <c r="L48" s="444"/>
      <c r="M48" s="445"/>
      <c r="N48" s="443"/>
      <c r="O48" s="444"/>
      <c r="P48" s="444"/>
      <c r="Q48" s="444"/>
      <c r="R48" s="444"/>
      <c r="S48" s="444"/>
      <c r="T48" s="444"/>
      <c r="U48" s="444"/>
      <c r="V48" s="444"/>
      <c r="W48" s="444"/>
      <c r="X48" s="444"/>
      <c r="Y48" s="445"/>
    </row>
    <row r="49" spans="1:49" s="100" customFormat="1" ht="21" customHeight="1" thickBot="1" x14ac:dyDescent="0.25">
      <c r="A49" s="389"/>
      <c r="B49" s="396" t="str">
        <f>IF(ISBLANK(B47),"",CONCATENATE($E$17,$F$17,".",$G$17,".","0",RIGHT($B$22,1),".",RIGHT(L49,1),$A47,IF(COUNTIFS(B47,"*op?ional*")=1,"-ij","")))</f>
        <v/>
      </c>
      <c r="C49" s="397"/>
      <c r="D49" s="398"/>
      <c r="E49" s="308"/>
      <c r="F49" s="308"/>
      <c r="G49" s="310"/>
      <c r="H49" s="311"/>
      <c r="I49" s="311"/>
      <c r="J49" s="311"/>
      <c r="K49" s="312"/>
      <c r="L49" s="308"/>
      <c r="M49" s="309"/>
      <c r="N49" s="396" t="str">
        <f>IF(ISBLANK(N47),"",CONCATENATE($E$17,$F$17,".",$G$17,".","0",RIGHT($N$22,1),".",RIGHT(X49,1),$A47,IF(COUNTIFS(N47,"*op?ional*")=1,"-ij","")))</f>
        <v/>
      </c>
      <c r="O49" s="397"/>
      <c r="P49" s="398"/>
      <c r="Q49" s="304"/>
      <c r="R49" s="304"/>
      <c r="S49" s="305"/>
      <c r="T49" s="306"/>
      <c r="U49" s="306"/>
      <c r="V49" s="306"/>
      <c r="W49" s="307"/>
      <c r="X49" s="308"/>
      <c r="Y49" s="309"/>
    </row>
    <row r="50" spans="1:49" s="100" customFormat="1" ht="21" customHeight="1" thickTop="1" x14ac:dyDescent="0.2">
      <c r="A50" s="387" t="s">
        <v>226</v>
      </c>
      <c r="B50" s="432" t="s">
        <v>270</v>
      </c>
      <c r="C50" s="433"/>
      <c r="D50" s="433"/>
      <c r="E50" s="433"/>
      <c r="F50" s="433"/>
      <c r="G50" s="433"/>
      <c r="H50" s="433"/>
      <c r="I50" s="433"/>
      <c r="J50" s="433"/>
      <c r="K50" s="433"/>
      <c r="L50" s="433"/>
      <c r="M50" s="434"/>
      <c r="N50" s="432" t="s">
        <v>270</v>
      </c>
      <c r="O50" s="433"/>
      <c r="P50" s="433"/>
      <c r="Q50" s="433"/>
      <c r="R50" s="433"/>
      <c r="S50" s="433"/>
      <c r="T50" s="433"/>
      <c r="U50" s="433"/>
      <c r="V50" s="433"/>
      <c r="W50" s="433"/>
      <c r="X50" s="433"/>
      <c r="Y50" s="434"/>
    </row>
    <row r="51" spans="1:49" s="100" customFormat="1" ht="21" customHeight="1" x14ac:dyDescent="0.2">
      <c r="A51" s="388"/>
      <c r="B51" s="435"/>
      <c r="C51" s="436"/>
      <c r="D51" s="436"/>
      <c r="E51" s="436"/>
      <c r="F51" s="436"/>
      <c r="G51" s="436"/>
      <c r="H51" s="436"/>
      <c r="I51" s="436"/>
      <c r="J51" s="436"/>
      <c r="K51" s="436"/>
      <c r="L51" s="436"/>
      <c r="M51" s="437"/>
      <c r="N51" s="435"/>
      <c r="O51" s="436"/>
      <c r="P51" s="436"/>
      <c r="Q51" s="436"/>
      <c r="R51" s="436"/>
      <c r="S51" s="436"/>
      <c r="T51" s="436"/>
      <c r="U51" s="436"/>
      <c r="V51" s="436"/>
      <c r="W51" s="436"/>
      <c r="X51" s="436"/>
      <c r="Y51" s="437"/>
    </row>
    <row r="52" spans="1:49" s="100" customFormat="1" ht="21" customHeight="1" thickBot="1" x14ac:dyDescent="0.25">
      <c r="A52" s="389"/>
      <c r="B52" s="396" t="str">
        <f>IF(ISBLANK(B50),"",CONCATENATE($E$17,$F$17,".",$G$17,".","0",RIGHT($B$22,1),".",RIGHT(L52,1),$A50,"-ij"))</f>
        <v>M60.22.01.10-ij</v>
      </c>
      <c r="C52" s="397"/>
      <c r="D52" s="398"/>
      <c r="E52" s="345">
        <v>2</v>
      </c>
      <c r="F52" s="345" t="s">
        <v>4</v>
      </c>
      <c r="G52" s="346"/>
      <c r="H52" s="347"/>
      <c r="I52" s="347"/>
      <c r="J52" s="347"/>
      <c r="K52" s="348"/>
      <c r="L52" s="345"/>
      <c r="M52" s="349"/>
      <c r="N52" s="396" t="str">
        <f>IF(ISBLANK(N50),"",CONCATENATE($E$17,$F$17,".",$G$17,".","0",RIGHT($N$22,1),".",RIGHT(X52,1),$A50,"-ij"))</f>
        <v>M60.22.02.10-ij</v>
      </c>
      <c r="O52" s="397"/>
      <c r="P52" s="398"/>
      <c r="Q52" s="350"/>
      <c r="R52" s="350"/>
      <c r="S52" s="351"/>
      <c r="T52" s="352"/>
      <c r="U52" s="352"/>
      <c r="V52" s="352"/>
      <c r="W52" s="353"/>
      <c r="X52" s="345"/>
      <c r="Y52" s="349"/>
    </row>
    <row r="53" spans="1:49" s="70" customFormat="1" ht="21" customHeight="1" thickTop="1" x14ac:dyDescent="0.2">
      <c r="A53" s="479" t="s">
        <v>48</v>
      </c>
      <c r="B53" s="101" t="s">
        <v>52</v>
      </c>
      <c r="C53" s="102"/>
      <c r="D53" s="102"/>
      <c r="E53" s="416">
        <f>SUM(G25:J25,G28:J28,G31:J31,G34:J34,G37:J37,G40:J40,G43:J43,G46:J46,G49:J49)</f>
        <v>224</v>
      </c>
      <c r="F53" s="417"/>
      <c r="G53" s="103" t="s">
        <v>5</v>
      </c>
      <c r="H53" s="104"/>
      <c r="I53" s="104"/>
      <c r="J53" s="104"/>
      <c r="K53" s="104"/>
      <c r="L53" s="105"/>
      <c r="M53" s="106">
        <f>SUM(M25,M28,M31,M34,M37,M40,M43,M46,M49)</f>
        <v>526</v>
      </c>
      <c r="N53" s="101" t="s">
        <v>52</v>
      </c>
      <c r="O53" s="102"/>
      <c r="P53" s="102"/>
      <c r="Q53" s="416">
        <f>SUM(S25:V25,S28:V28,S31:V31,S34:V34,S37:V37,S40:V40,S43:V43,S46:V46,S49:V49)</f>
        <v>224</v>
      </c>
      <c r="R53" s="417"/>
      <c r="S53" s="103" t="s">
        <v>5</v>
      </c>
      <c r="T53" s="104"/>
      <c r="U53" s="104"/>
      <c r="V53" s="104"/>
      <c r="W53" s="104"/>
      <c r="X53" s="105"/>
      <c r="Y53" s="359">
        <f>SUM(Y25,Y28,Y31,Y34,Y37,Y40,Y43,Y46,Y49)</f>
        <v>426</v>
      </c>
    </row>
    <row r="54" spans="1:49" s="70" customFormat="1" ht="21" customHeight="1" x14ac:dyDescent="0.2">
      <c r="A54" s="480"/>
      <c r="B54" s="451" t="s">
        <v>53</v>
      </c>
      <c r="C54" s="452"/>
      <c r="D54" s="452"/>
      <c r="E54" s="418">
        <f>SUM(G25:K25,G28:K28,G31:K31,G34:K34,G37:K37,G40:K40,G43:K43,G46:K46,G49:K49)</f>
        <v>224</v>
      </c>
      <c r="F54" s="419"/>
      <c r="G54" s="451" t="s">
        <v>55</v>
      </c>
      <c r="H54" s="452"/>
      <c r="I54" s="452"/>
      <c r="J54" s="107"/>
      <c r="K54" s="107"/>
      <c r="L54" s="108"/>
      <c r="M54" s="109">
        <f>E54+M53</f>
        <v>750</v>
      </c>
      <c r="N54" s="451" t="s">
        <v>53</v>
      </c>
      <c r="O54" s="452"/>
      <c r="P54" s="452"/>
      <c r="Q54" s="418">
        <f>SUM(S25:W25,S28:W28,S31:W31,S34:W34,S37:W37,S40:W40,S43:W43,S46:W46,S49:W49)</f>
        <v>324</v>
      </c>
      <c r="R54" s="419"/>
      <c r="S54" s="451" t="s">
        <v>55</v>
      </c>
      <c r="T54" s="452"/>
      <c r="U54" s="452"/>
      <c r="V54" s="110"/>
      <c r="W54" s="110"/>
      <c r="X54" s="111"/>
      <c r="Y54" s="112">
        <f>Q54+Y53</f>
        <v>750</v>
      </c>
    </row>
    <row r="55" spans="1:49" s="70" customFormat="1" ht="21" customHeight="1" thickBot="1" x14ac:dyDescent="0.25">
      <c r="A55" s="481"/>
      <c r="B55" s="453" t="s">
        <v>6</v>
      </c>
      <c r="C55" s="454"/>
      <c r="D55" s="113"/>
      <c r="E55" s="420">
        <f>SUM(E25,E28,E31,E34,E37,E40,E43,E46,E49)</f>
        <v>30</v>
      </c>
      <c r="F55" s="421"/>
      <c r="G55" s="449" t="s">
        <v>7</v>
      </c>
      <c r="H55" s="450"/>
      <c r="I55" s="450"/>
      <c r="J55" s="450"/>
      <c r="K55" s="450"/>
      <c r="L55" s="475" t="str">
        <f>AZ418</f>
        <v>5E,1D,0C</v>
      </c>
      <c r="M55" s="476"/>
      <c r="N55" s="477" t="s">
        <v>6</v>
      </c>
      <c r="O55" s="478"/>
      <c r="P55" s="114"/>
      <c r="Q55" s="420">
        <f>SUM(Q25,Q28,Q31,Q34,Q37,Q40,Q43,Q46,Q49)</f>
        <v>30</v>
      </c>
      <c r="R55" s="421"/>
      <c r="S55" s="449" t="s">
        <v>7</v>
      </c>
      <c r="T55" s="450"/>
      <c r="U55" s="450"/>
      <c r="V55" s="450"/>
      <c r="W55" s="115"/>
      <c r="X55" s="475" t="str">
        <f>AZ419</f>
        <v>5E,2D,0C</v>
      </c>
      <c r="Y55" s="476"/>
    </row>
    <row r="56" spans="1:49" s="70" customFormat="1" ht="21" customHeight="1" thickTop="1" x14ac:dyDescent="0.2">
      <c r="A56" s="479" t="s">
        <v>49</v>
      </c>
      <c r="B56" s="101" t="s">
        <v>52</v>
      </c>
      <c r="C56" s="102"/>
      <c r="D56" s="102"/>
      <c r="E56" s="422">
        <f>SUM(G58:J58)</f>
        <v>16</v>
      </c>
      <c r="F56" s="423"/>
      <c r="G56" s="103" t="s">
        <v>5</v>
      </c>
      <c r="H56" s="104"/>
      <c r="I56" s="104"/>
      <c r="J56" s="104"/>
      <c r="K56" s="104"/>
      <c r="L56" s="105"/>
      <c r="M56" s="116">
        <f>M53/14</f>
        <v>37.571428571428569</v>
      </c>
      <c r="N56" s="101" t="s">
        <v>52</v>
      </c>
      <c r="O56" s="102"/>
      <c r="P56" s="102"/>
      <c r="Q56" s="422">
        <f>SUM(S58:V58)</f>
        <v>16</v>
      </c>
      <c r="R56" s="423"/>
      <c r="S56" s="103" t="s">
        <v>5</v>
      </c>
      <c r="T56" s="104"/>
      <c r="U56" s="104"/>
      <c r="V56" s="104"/>
      <c r="W56" s="104"/>
      <c r="X56" s="117"/>
      <c r="Y56" s="118">
        <f>Y53/14</f>
        <v>30.428571428571427</v>
      </c>
    </row>
    <row r="57" spans="1:49" s="70" customFormat="1" ht="21" customHeight="1" x14ac:dyDescent="0.2">
      <c r="A57" s="480"/>
      <c r="B57" s="451" t="s">
        <v>53</v>
      </c>
      <c r="C57" s="452"/>
      <c r="D57" s="452"/>
      <c r="E57" s="424">
        <f>SUM(G58:K58)</f>
        <v>16</v>
      </c>
      <c r="F57" s="425"/>
      <c r="G57" s="451" t="s">
        <v>55</v>
      </c>
      <c r="H57" s="452"/>
      <c r="I57" s="452"/>
      <c r="J57" s="107"/>
      <c r="K57" s="107"/>
      <c r="L57" s="88"/>
      <c r="M57" s="119">
        <f>E57+M56</f>
        <v>53.571428571428569</v>
      </c>
      <c r="N57" s="451" t="s">
        <v>53</v>
      </c>
      <c r="O57" s="452"/>
      <c r="P57" s="452"/>
      <c r="Q57" s="424">
        <f>SUM(S58:W58)</f>
        <v>23.142857142857142</v>
      </c>
      <c r="R57" s="425"/>
      <c r="S57" s="451" t="s">
        <v>55</v>
      </c>
      <c r="T57" s="452"/>
      <c r="U57" s="452"/>
      <c r="V57" s="120"/>
      <c r="W57" s="120"/>
      <c r="X57" s="121"/>
      <c r="Y57" s="122">
        <f>Y54/14</f>
        <v>53.571428571428569</v>
      </c>
    </row>
    <row r="58" spans="1:49" s="70" customFormat="1" ht="21" customHeight="1" thickBot="1" x14ac:dyDescent="0.25">
      <c r="A58" s="487"/>
      <c r="B58" s="449" t="s">
        <v>8</v>
      </c>
      <c r="C58" s="450"/>
      <c r="D58" s="123"/>
      <c r="E58" s="123"/>
      <c r="F58" s="124"/>
      <c r="G58" s="125">
        <f>(G25+G28+G31+G34+G37+G40+G43+G46+G49)/14</f>
        <v>11</v>
      </c>
      <c r="H58" s="125">
        <f>(H25+H28+H31+H34+H37+H40+H43+H46+H49)/14</f>
        <v>2</v>
      </c>
      <c r="I58" s="125">
        <f t="shared" ref="I58:K58" si="0">(I25+I28+I31+I34+I37+I40+I43+I46+I49)/14</f>
        <v>0</v>
      </c>
      <c r="J58" s="125">
        <f t="shared" si="0"/>
        <v>3</v>
      </c>
      <c r="K58" s="125">
        <f t="shared" si="0"/>
        <v>0</v>
      </c>
      <c r="L58" s="488" t="s">
        <v>54</v>
      </c>
      <c r="M58" s="489"/>
      <c r="N58" s="449" t="s">
        <v>8</v>
      </c>
      <c r="O58" s="450"/>
      <c r="P58" s="123"/>
      <c r="Q58" s="123"/>
      <c r="R58" s="124"/>
      <c r="S58" s="125">
        <f>(S25+S28+S31+S34+S37+S40+S43+S46+S49)/14</f>
        <v>10</v>
      </c>
      <c r="T58" s="125">
        <f>(T25+T28+T31+T34+T37+T40+T43+T46+T49)/14</f>
        <v>3</v>
      </c>
      <c r="U58" s="125">
        <f t="shared" ref="U58:W58" si="1">(U25+U28+U31+U34+U37+U40+U43+U46+U49)/14</f>
        <v>0</v>
      </c>
      <c r="V58" s="125">
        <f t="shared" si="1"/>
        <v>3</v>
      </c>
      <c r="W58" s="125">
        <f t="shared" si="1"/>
        <v>7.1428571428571432</v>
      </c>
      <c r="X58" s="488" t="s">
        <v>54</v>
      </c>
      <c r="Y58" s="489"/>
    </row>
    <row r="59" spans="1:49" s="126" customFormat="1" ht="21" customHeight="1" thickTop="1" x14ac:dyDescent="0.2">
      <c r="L59" s="127"/>
      <c r="X59" s="127"/>
    </row>
    <row r="60" spans="1:49" s="126" customFormat="1" ht="21" customHeight="1" x14ac:dyDescent="0.25">
      <c r="A60" s="399" t="s">
        <v>271</v>
      </c>
      <c r="B60" s="399"/>
      <c r="C60" s="399"/>
      <c r="D60" s="399"/>
      <c r="E60" s="399"/>
      <c r="F60" s="399"/>
      <c r="G60" s="399"/>
      <c r="H60" s="399"/>
      <c r="I60" s="399"/>
      <c r="J60" s="399"/>
      <c r="K60" s="399"/>
      <c r="L60" s="399"/>
      <c r="M60" s="399"/>
      <c r="N60" s="399"/>
      <c r="O60" s="399"/>
      <c r="P60" s="399"/>
      <c r="Q60" s="399"/>
      <c r="R60" s="399"/>
      <c r="S60" s="399"/>
      <c r="T60" s="399"/>
      <c r="U60" s="399"/>
      <c r="V60" s="399"/>
      <c r="W60" s="399"/>
      <c r="X60" s="399"/>
      <c r="Y60" s="399"/>
      <c r="Z60" s="354"/>
      <c r="AA60" s="354"/>
      <c r="AB60" s="354"/>
      <c r="AC60" s="354"/>
      <c r="AD60" s="354"/>
      <c r="AE60" s="354"/>
      <c r="AF60" s="354"/>
      <c r="AG60" s="354"/>
      <c r="AH60" s="354"/>
      <c r="AI60" s="354"/>
      <c r="AJ60" s="354"/>
      <c r="AK60" s="354"/>
      <c r="AL60" s="354"/>
      <c r="AM60" s="354"/>
      <c r="AN60" s="354"/>
      <c r="AO60" s="354"/>
      <c r="AP60" s="354"/>
      <c r="AQ60" s="354"/>
      <c r="AR60" s="354"/>
      <c r="AS60" s="354"/>
      <c r="AT60" s="354"/>
      <c r="AU60" s="354"/>
      <c r="AV60" s="354"/>
      <c r="AW60" s="354"/>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04" t="str">
        <f>A20</f>
        <v>Pentru seria de studenti 2022-2024</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row>
    <row r="63" spans="1:49" ht="21" customHeight="1" thickBot="1" x14ac:dyDescent="0.25">
      <c r="A63" s="483" t="str">
        <f>IF(ISBLANK($G$17),"ANUL II",CONCATENATE("ANUL II (20",$G$17+1,-20,$G$17+2,")"))</f>
        <v>ANUL II (2023-2024)</v>
      </c>
      <c r="B63" s="483"/>
      <c r="C63" s="483"/>
      <c r="D63" s="483"/>
      <c r="E63" s="483"/>
      <c r="F63" s="483"/>
      <c r="G63" s="483"/>
      <c r="H63" s="483"/>
      <c r="I63" s="483"/>
      <c r="J63" s="483"/>
      <c r="K63" s="483"/>
      <c r="L63" s="483"/>
      <c r="M63" s="483"/>
      <c r="N63" s="483"/>
      <c r="O63" s="483"/>
      <c r="P63" s="483"/>
      <c r="Q63" s="483"/>
      <c r="R63" s="483"/>
      <c r="S63" s="483"/>
      <c r="T63" s="483"/>
      <c r="U63" s="483"/>
      <c r="V63" s="483"/>
      <c r="W63" s="483"/>
      <c r="X63" s="483"/>
      <c r="Y63" s="483"/>
    </row>
    <row r="64" spans="1:49" ht="21" customHeight="1" thickTop="1" thickBot="1" x14ac:dyDescent="0.25">
      <c r="A64" s="99"/>
      <c r="B64" s="406" t="s">
        <v>2</v>
      </c>
      <c r="C64" s="407"/>
      <c r="D64" s="407"/>
      <c r="E64" s="407"/>
      <c r="F64" s="407"/>
      <c r="G64" s="407"/>
      <c r="H64" s="407"/>
      <c r="I64" s="407"/>
      <c r="J64" s="407"/>
      <c r="K64" s="407"/>
      <c r="L64" s="407"/>
      <c r="M64" s="408"/>
      <c r="N64" s="407" t="s">
        <v>3</v>
      </c>
      <c r="O64" s="407"/>
      <c r="P64" s="407"/>
      <c r="Q64" s="407"/>
      <c r="R64" s="407"/>
      <c r="S64" s="407"/>
      <c r="T64" s="407"/>
      <c r="U64" s="407"/>
      <c r="V64" s="407"/>
      <c r="W64" s="407"/>
      <c r="X64" s="407"/>
      <c r="Y64" s="408"/>
    </row>
    <row r="65" spans="1:25" s="134" customFormat="1" ht="21" customHeight="1" thickTop="1" x14ac:dyDescent="0.2">
      <c r="A65" s="388" t="s">
        <v>28</v>
      </c>
      <c r="B65" s="484" t="s">
        <v>303</v>
      </c>
      <c r="C65" s="485"/>
      <c r="D65" s="485"/>
      <c r="E65" s="485"/>
      <c r="F65" s="485"/>
      <c r="G65" s="485"/>
      <c r="H65" s="485"/>
      <c r="I65" s="485"/>
      <c r="J65" s="485"/>
      <c r="K65" s="485"/>
      <c r="L65" s="485"/>
      <c r="M65" s="486"/>
      <c r="N65" s="456" t="s">
        <v>309</v>
      </c>
      <c r="O65" s="456"/>
      <c r="P65" s="456"/>
      <c r="Q65" s="456"/>
      <c r="R65" s="456"/>
      <c r="S65" s="456"/>
      <c r="T65" s="456"/>
      <c r="U65" s="456"/>
      <c r="V65" s="456"/>
      <c r="W65" s="456"/>
      <c r="X65" s="456"/>
      <c r="Y65" s="457"/>
    </row>
    <row r="66" spans="1:25" s="134" customFormat="1" ht="21" customHeight="1" x14ac:dyDescent="0.2">
      <c r="A66" s="388"/>
      <c r="B66" s="443"/>
      <c r="C66" s="444"/>
      <c r="D66" s="444"/>
      <c r="E66" s="444"/>
      <c r="F66" s="444"/>
      <c r="G66" s="444"/>
      <c r="H66" s="444"/>
      <c r="I66" s="444"/>
      <c r="J66" s="444"/>
      <c r="K66" s="444"/>
      <c r="L66" s="444"/>
      <c r="M66" s="445"/>
      <c r="N66" s="459"/>
      <c r="O66" s="459"/>
      <c r="P66" s="459"/>
      <c r="Q66" s="459"/>
      <c r="R66" s="459"/>
      <c r="S66" s="459"/>
      <c r="T66" s="459"/>
      <c r="U66" s="459"/>
      <c r="V66" s="459"/>
      <c r="W66" s="459"/>
      <c r="X66" s="459"/>
      <c r="Y66" s="460"/>
    </row>
    <row r="67" spans="1:25" s="135" customFormat="1" ht="21" customHeight="1" thickBot="1" x14ac:dyDescent="0.25">
      <c r="A67" s="389"/>
      <c r="B67" s="396" t="str">
        <f>IF(ISBLANK(B65),"",CONCATENATE($E$17,$F$17,".",$G$17,".","0",RIGHT($B$64,1),".",RIGHT(L67,1),$A65,IF(COUNTIFS(B65,"*op?ional*")=1,"-ij","")))</f>
        <v>M60.22.03.S1</v>
      </c>
      <c r="C67" s="397"/>
      <c r="D67" s="398"/>
      <c r="E67" s="364">
        <v>8</v>
      </c>
      <c r="F67" s="361" t="s">
        <v>267</v>
      </c>
      <c r="G67" s="365">
        <v>14</v>
      </c>
      <c r="H67" s="362">
        <v>0</v>
      </c>
      <c r="I67" s="362">
        <v>0</v>
      </c>
      <c r="J67" s="363">
        <v>42</v>
      </c>
      <c r="K67" s="307"/>
      <c r="L67" s="308" t="s">
        <v>151</v>
      </c>
      <c r="M67" s="309">
        <v>144</v>
      </c>
      <c r="N67" s="396" t="str">
        <f>IF(ISBLANK(N65),"",CONCATENATE($E$17,$F$17,".",$G$17,".","0",RIGHT($N$64,1),".",RIGHT(X67,1),$A65,IF(COUNTIFS(N65,"*op?ional*")=1,"-ij","")))</f>
        <v>M60.22.04.S1</v>
      </c>
      <c r="O67" s="397"/>
      <c r="P67" s="398"/>
      <c r="Q67" s="364">
        <v>4</v>
      </c>
      <c r="R67" s="361" t="s">
        <v>267</v>
      </c>
      <c r="S67" s="365">
        <v>0</v>
      </c>
      <c r="T67" s="362">
        <v>0</v>
      </c>
      <c r="U67" s="362">
        <v>0</v>
      </c>
      <c r="V67" s="362">
        <v>0</v>
      </c>
      <c r="W67" s="316">
        <v>100</v>
      </c>
      <c r="X67" s="317" t="s">
        <v>151</v>
      </c>
      <c r="Y67" s="318">
        <v>0</v>
      </c>
    </row>
    <row r="68" spans="1:25" s="135" customFormat="1" ht="21" customHeight="1" thickTop="1" x14ac:dyDescent="0.2">
      <c r="A68" s="387" t="s">
        <v>29</v>
      </c>
      <c r="B68" s="440" t="s">
        <v>304</v>
      </c>
      <c r="C68" s="441"/>
      <c r="D68" s="441"/>
      <c r="E68" s="441"/>
      <c r="F68" s="441"/>
      <c r="G68" s="441"/>
      <c r="H68" s="441"/>
      <c r="I68" s="441"/>
      <c r="J68" s="441"/>
      <c r="K68" s="441"/>
      <c r="L68" s="441"/>
      <c r="M68" s="442"/>
      <c r="N68" s="456" t="s">
        <v>310</v>
      </c>
      <c r="O68" s="456"/>
      <c r="P68" s="456"/>
      <c r="Q68" s="456"/>
      <c r="R68" s="456"/>
      <c r="S68" s="456"/>
      <c r="T68" s="456"/>
      <c r="U68" s="456"/>
      <c r="V68" s="456"/>
      <c r="W68" s="456"/>
      <c r="X68" s="456"/>
      <c r="Y68" s="457"/>
    </row>
    <row r="69" spans="1:25" s="135" customFormat="1" ht="21" customHeight="1" x14ac:dyDescent="0.2">
      <c r="A69" s="388"/>
      <c r="B69" s="443"/>
      <c r="C69" s="444"/>
      <c r="D69" s="444"/>
      <c r="E69" s="444"/>
      <c r="F69" s="444"/>
      <c r="G69" s="444"/>
      <c r="H69" s="444"/>
      <c r="I69" s="444"/>
      <c r="J69" s="444"/>
      <c r="K69" s="444"/>
      <c r="L69" s="444"/>
      <c r="M69" s="445"/>
      <c r="N69" s="459"/>
      <c r="O69" s="459"/>
      <c r="P69" s="459"/>
      <c r="Q69" s="459"/>
      <c r="R69" s="459"/>
      <c r="S69" s="459"/>
      <c r="T69" s="459"/>
      <c r="U69" s="459"/>
      <c r="V69" s="459"/>
      <c r="W69" s="459"/>
      <c r="X69" s="459"/>
      <c r="Y69" s="460"/>
    </row>
    <row r="70" spans="1:25" s="135" customFormat="1" ht="21" customHeight="1" thickBot="1" x14ac:dyDescent="0.25">
      <c r="A70" s="389"/>
      <c r="B70" s="396" t="str">
        <f>IF(ISBLANK(B68),"",CONCATENATE($E$17,$F$17,".",$G$17,".","0",RIGHT($B$64,1),".",RIGHT(L70,1),$A68,IF(COUNTIFS(B68,"*op?ional*")=1,"-ij","")))</f>
        <v>M60.22.03.A2</v>
      </c>
      <c r="C70" s="397"/>
      <c r="D70" s="398"/>
      <c r="E70" s="364">
        <v>4</v>
      </c>
      <c r="F70" s="361" t="s">
        <v>4</v>
      </c>
      <c r="G70" s="365">
        <v>14</v>
      </c>
      <c r="H70" s="362">
        <v>14</v>
      </c>
      <c r="I70" s="362">
        <v>0</v>
      </c>
      <c r="J70" s="363">
        <v>0</v>
      </c>
      <c r="K70" s="307"/>
      <c r="L70" s="308" t="s">
        <v>298</v>
      </c>
      <c r="M70" s="309">
        <v>72</v>
      </c>
      <c r="N70" s="396" t="str">
        <f>IF(ISBLANK(N68),"",CONCATENATE($E$17,$F$17,".",$G$17,".","0",RIGHT($N$64,1),".",RIGHT(X70,1),$A68,IF(COUNTIFS(N68,"*op?ional*")=1,"-ij","")))</f>
        <v>M60.22.04.C2</v>
      </c>
      <c r="O70" s="397"/>
      <c r="P70" s="398"/>
      <c r="Q70" s="364">
        <v>2</v>
      </c>
      <c r="R70" s="361" t="s">
        <v>138</v>
      </c>
      <c r="S70" s="365">
        <v>14</v>
      </c>
      <c r="T70" s="362">
        <v>7</v>
      </c>
      <c r="U70" s="362">
        <v>0</v>
      </c>
      <c r="V70" s="363">
        <v>0</v>
      </c>
      <c r="W70" s="312"/>
      <c r="X70" s="308" t="s">
        <v>152</v>
      </c>
      <c r="Y70" s="309">
        <v>29</v>
      </c>
    </row>
    <row r="71" spans="1:25" s="135" customFormat="1" ht="21" customHeight="1" thickTop="1" x14ac:dyDescent="0.2">
      <c r="A71" s="387" t="s">
        <v>30</v>
      </c>
      <c r="B71" s="440" t="s">
        <v>305</v>
      </c>
      <c r="C71" s="441"/>
      <c r="D71" s="441"/>
      <c r="E71" s="441"/>
      <c r="F71" s="441"/>
      <c r="G71" s="441"/>
      <c r="H71" s="441"/>
      <c r="I71" s="441"/>
      <c r="J71" s="441"/>
      <c r="K71" s="441"/>
      <c r="L71" s="441"/>
      <c r="M71" s="442"/>
      <c r="N71" s="456" t="s">
        <v>311</v>
      </c>
      <c r="O71" s="456"/>
      <c r="P71" s="456"/>
      <c r="Q71" s="456"/>
      <c r="R71" s="456"/>
      <c r="S71" s="456"/>
      <c r="T71" s="456"/>
      <c r="U71" s="456"/>
      <c r="V71" s="456"/>
      <c r="W71" s="456"/>
      <c r="X71" s="456"/>
      <c r="Y71" s="457"/>
    </row>
    <row r="72" spans="1:25" s="135" customFormat="1" ht="21" customHeight="1" x14ac:dyDescent="0.2">
      <c r="A72" s="388"/>
      <c r="B72" s="443"/>
      <c r="C72" s="444"/>
      <c r="D72" s="444"/>
      <c r="E72" s="444"/>
      <c r="F72" s="444"/>
      <c r="G72" s="444"/>
      <c r="H72" s="444"/>
      <c r="I72" s="444"/>
      <c r="J72" s="444"/>
      <c r="K72" s="444"/>
      <c r="L72" s="444"/>
      <c r="M72" s="445"/>
      <c r="N72" s="459"/>
      <c r="O72" s="459"/>
      <c r="P72" s="459"/>
      <c r="Q72" s="459"/>
      <c r="R72" s="459"/>
      <c r="S72" s="459"/>
      <c r="T72" s="459"/>
      <c r="U72" s="459"/>
      <c r="V72" s="459"/>
      <c r="W72" s="459"/>
      <c r="X72" s="459"/>
      <c r="Y72" s="460"/>
    </row>
    <row r="73" spans="1:25" s="135" customFormat="1" ht="21" customHeight="1" thickBot="1" x14ac:dyDescent="0.25">
      <c r="A73" s="389"/>
      <c r="B73" s="396" t="str">
        <f>IF(ISBLANK(B71),"",CONCATENATE($E$17,$F$17,".",$G$17,".","0",RIGHT($B$64,1),".",RIGHT(L73,1),$A71,IF(COUNTIFS(B71,"*op?ional*")=1,"-ij","")))</f>
        <v>M60.22.03.A3</v>
      </c>
      <c r="C73" s="397"/>
      <c r="D73" s="398"/>
      <c r="E73" s="366">
        <v>5</v>
      </c>
      <c r="F73" s="361" t="s">
        <v>4</v>
      </c>
      <c r="G73" s="365">
        <v>28</v>
      </c>
      <c r="H73" s="362">
        <v>14</v>
      </c>
      <c r="I73" s="362">
        <v>0</v>
      </c>
      <c r="J73" s="363">
        <v>0</v>
      </c>
      <c r="K73" s="307"/>
      <c r="L73" s="308" t="s">
        <v>298</v>
      </c>
      <c r="M73" s="360">
        <v>83</v>
      </c>
      <c r="N73" s="396" t="str">
        <f>IF(ISBLANK(N71),"",CONCATENATE($E$17,$F$17,".",$G$17,".","0",RIGHT($N$64,1),".",RIGHT(X73,1),$A71,IF(COUNTIFS(N71,"*op?ional*")=1,"-ij","")))</f>
        <v>M60.22.04.A3</v>
      </c>
      <c r="O73" s="397"/>
      <c r="P73" s="398"/>
      <c r="Q73" s="364">
        <v>10</v>
      </c>
      <c r="R73" s="361" t="s">
        <v>267</v>
      </c>
      <c r="S73" s="365">
        <v>0</v>
      </c>
      <c r="T73" s="362">
        <v>0</v>
      </c>
      <c r="U73" s="362">
        <v>0</v>
      </c>
      <c r="V73" s="363">
        <v>84</v>
      </c>
      <c r="W73" s="316"/>
      <c r="X73" s="317" t="s">
        <v>298</v>
      </c>
      <c r="Y73" s="318">
        <v>166</v>
      </c>
    </row>
    <row r="74" spans="1:25" s="135" customFormat="1" ht="21" customHeight="1" thickTop="1" x14ac:dyDescent="0.2">
      <c r="A74" s="387" t="s">
        <v>31</v>
      </c>
      <c r="B74" s="440" t="s">
        <v>306</v>
      </c>
      <c r="C74" s="441"/>
      <c r="D74" s="441"/>
      <c r="E74" s="441"/>
      <c r="F74" s="441"/>
      <c r="G74" s="441"/>
      <c r="H74" s="441"/>
      <c r="I74" s="441"/>
      <c r="J74" s="441"/>
      <c r="K74" s="441"/>
      <c r="L74" s="441"/>
      <c r="M74" s="442"/>
      <c r="N74" s="456" t="s">
        <v>312</v>
      </c>
      <c r="O74" s="456"/>
      <c r="P74" s="456"/>
      <c r="Q74" s="456"/>
      <c r="R74" s="456"/>
      <c r="S74" s="456"/>
      <c r="T74" s="456"/>
      <c r="U74" s="456"/>
      <c r="V74" s="456"/>
      <c r="W74" s="456"/>
      <c r="X74" s="456"/>
      <c r="Y74" s="457"/>
    </row>
    <row r="75" spans="1:25" s="135" customFormat="1" ht="21" customHeight="1" x14ac:dyDescent="0.2">
      <c r="A75" s="388"/>
      <c r="B75" s="443"/>
      <c r="C75" s="444"/>
      <c r="D75" s="444"/>
      <c r="E75" s="444"/>
      <c r="F75" s="444"/>
      <c r="G75" s="444"/>
      <c r="H75" s="444"/>
      <c r="I75" s="444"/>
      <c r="J75" s="444"/>
      <c r="K75" s="444"/>
      <c r="L75" s="444"/>
      <c r="M75" s="445"/>
      <c r="N75" s="459"/>
      <c r="O75" s="459"/>
      <c r="P75" s="459"/>
      <c r="Q75" s="459"/>
      <c r="R75" s="459"/>
      <c r="S75" s="459"/>
      <c r="T75" s="459"/>
      <c r="U75" s="459"/>
      <c r="V75" s="459"/>
      <c r="W75" s="459"/>
      <c r="X75" s="459"/>
      <c r="Y75" s="460"/>
    </row>
    <row r="76" spans="1:25" s="135" customFormat="1" ht="21" customHeight="1" thickBot="1" x14ac:dyDescent="0.25">
      <c r="A76" s="389"/>
      <c r="B76" s="396" t="str">
        <f>IF(ISBLANK(B74),"",CONCATENATE($E$17,$F$17,".",$G$17,".","0",RIGHT($B$64,1),".",RIGHT(L76,1),$A74,IF(COUNTIFS(B74,"*op?ional*")=1,"-ij","")))</f>
        <v>M60.22.03.A4</v>
      </c>
      <c r="C76" s="397"/>
      <c r="D76" s="398"/>
      <c r="E76" s="366">
        <v>5</v>
      </c>
      <c r="F76" s="361" t="s">
        <v>267</v>
      </c>
      <c r="G76" s="365">
        <v>28</v>
      </c>
      <c r="H76" s="362">
        <v>14</v>
      </c>
      <c r="I76" s="362">
        <v>0</v>
      </c>
      <c r="J76" s="363">
        <v>0</v>
      </c>
      <c r="K76" s="307"/>
      <c r="L76" s="308" t="s">
        <v>298</v>
      </c>
      <c r="M76" s="360">
        <v>83</v>
      </c>
      <c r="N76" s="396" t="str">
        <f>IF(ISBLANK(N74),"",CONCATENATE($E$17,$F$17,".",$G$17,".","0",RIGHT($N$64,1),".",RIGHT(X76,1),$A74,IF(COUNTIFS(N74,"*op?ional*")=1,"-ij","")))</f>
        <v>M60.22.04.S4</v>
      </c>
      <c r="O76" s="397"/>
      <c r="P76" s="398"/>
      <c r="Q76" s="364">
        <v>14</v>
      </c>
      <c r="R76" s="361" t="s">
        <v>4</v>
      </c>
      <c r="S76" s="365">
        <v>0</v>
      </c>
      <c r="T76" s="362">
        <v>0</v>
      </c>
      <c r="U76" s="362">
        <v>0</v>
      </c>
      <c r="V76" s="363">
        <v>0</v>
      </c>
      <c r="W76" s="316">
        <v>28</v>
      </c>
      <c r="X76" s="317" t="s">
        <v>151</v>
      </c>
      <c r="Y76" s="318">
        <v>322</v>
      </c>
    </row>
    <row r="77" spans="1:25" s="135" customFormat="1" ht="21" customHeight="1" thickTop="1" x14ac:dyDescent="0.2">
      <c r="A77" s="387" t="s">
        <v>32</v>
      </c>
      <c r="B77" s="440" t="s">
        <v>307</v>
      </c>
      <c r="C77" s="441"/>
      <c r="D77" s="441"/>
      <c r="E77" s="441"/>
      <c r="F77" s="441"/>
      <c r="G77" s="441"/>
      <c r="H77" s="441"/>
      <c r="I77" s="441"/>
      <c r="J77" s="441"/>
      <c r="K77" s="441"/>
      <c r="L77" s="441"/>
      <c r="M77" s="442"/>
      <c r="N77" s="455" t="s">
        <v>325</v>
      </c>
      <c r="O77" s="456"/>
      <c r="P77" s="456"/>
      <c r="Q77" s="456"/>
      <c r="R77" s="456"/>
      <c r="S77" s="456"/>
      <c r="T77" s="456"/>
      <c r="U77" s="456"/>
      <c r="V77" s="456"/>
      <c r="W77" s="456"/>
      <c r="X77" s="456"/>
      <c r="Y77" s="457"/>
    </row>
    <row r="78" spans="1:25" s="135" customFormat="1" ht="21" customHeight="1" x14ac:dyDescent="0.2">
      <c r="A78" s="388"/>
      <c r="B78" s="443"/>
      <c r="C78" s="444"/>
      <c r="D78" s="444"/>
      <c r="E78" s="444"/>
      <c r="F78" s="444"/>
      <c r="G78" s="444"/>
      <c r="H78" s="444"/>
      <c r="I78" s="444"/>
      <c r="J78" s="444"/>
      <c r="K78" s="444"/>
      <c r="L78" s="444"/>
      <c r="M78" s="445"/>
      <c r="N78" s="458"/>
      <c r="O78" s="459"/>
      <c r="P78" s="459"/>
      <c r="Q78" s="459"/>
      <c r="R78" s="459"/>
      <c r="S78" s="459"/>
      <c r="T78" s="459"/>
      <c r="U78" s="459"/>
      <c r="V78" s="459"/>
      <c r="W78" s="459"/>
      <c r="X78" s="459"/>
      <c r="Y78" s="460"/>
    </row>
    <row r="79" spans="1:25" s="135" customFormat="1" ht="21" customHeight="1" thickBot="1" x14ac:dyDescent="0.25">
      <c r="A79" s="389"/>
      <c r="B79" s="396" t="str">
        <f>IF(ISBLANK(B77),"",CONCATENATE($E$17,$F$17,".",$G$17,".","0",RIGHT($B$64,1),".",RIGHT(L79,1),$A77,IF(COUNTIFS(B77,"*op?ional*")=1,"-ij","")))</f>
        <v>M60.22.03.S5-ij</v>
      </c>
      <c r="C79" s="397"/>
      <c r="D79" s="398"/>
      <c r="E79" s="366">
        <v>4</v>
      </c>
      <c r="F79" s="361" t="s">
        <v>267</v>
      </c>
      <c r="G79" s="365">
        <v>14</v>
      </c>
      <c r="H79" s="362">
        <v>14</v>
      </c>
      <c r="I79" s="362">
        <v>0</v>
      </c>
      <c r="J79" s="363">
        <v>0</v>
      </c>
      <c r="K79" s="307"/>
      <c r="L79" s="308" t="s">
        <v>151</v>
      </c>
      <c r="M79" s="360">
        <v>72</v>
      </c>
      <c r="N79" s="396" t="str">
        <f>IF(ISBLANK(N77),"",CONCATENATE($E$17,$F$17,".",$G$17,".","0",RIGHT($N$64,1),".",RIGHT(X79,1),$A77,IF(COUNTIFS(N77,"*op?ional*")=1,"-ij","")))</f>
        <v>M60.22.04.S5</v>
      </c>
      <c r="O79" s="397"/>
      <c r="P79" s="398"/>
      <c r="Q79" s="364">
        <v>10</v>
      </c>
      <c r="R79" s="361" t="s">
        <v>4</v>
      </c>
      <c r="S79" s="365">
        <v>0</v>
      </c>
      <c r="T79" s="362">
        <v>0</v>
      </c>
      <c r="U79" s="362">
        <v>0</v>
      </c>
      <c r="V79" s="363">
        <v>0</v>
      </c>
      <c r="W79" s="316"/>
      <c r="X79" s="317" t="s">
        <v>151</v>
      </c>
      <c r="Y79" s="318">
        <v>0</v>
      </c>
    </row>
    <row r="80" spans="1:25" s="135" customFormat="1" ht="21" customHeight="1" thickTop="1" x14ac:dyDescent="0.2">
      <c r="A80" s="387" t="s">
        <v>50</v>
      </c>
      <c r="B80" s="440" t="s">
        <v>308</v>
      </c>
      <c r="C80" s="441"/>
      <c r="D80" s="441"/>
      <c r="E80" s="441"/>
      <c r="F80" s="441"/>
      <c r="G80" s="441"/>
      <c r="H80" s="441"/>
      <c r="I80" s="441"/>
      <c r="J80" s="441"/>
      <c r="K80" s="441"/>
      <c r="L80" s="441"/>
      <c r="M80" s="442"/>
      <c r="N80" s="455"/>
      <c r="O80" s="456"/>
      <c r="P80" s="456"/>
      <c r="Q80" s="456"/>
      <c r="R80" s="456"/>
      <c r="S80" s="456"/>
      <c r="T80" s="456"/>
      <c r="U80" s="456"/>
      <c r="V80" s="456"/>
      <c r="W80" s="456"/>
      <c r="X80" s="456"/>
      <c r="Y80" s="457"/>
    </row>
    <row r="81" spans="1:25" s="135" customFormat="1" ht="21" customHeight="1" x14ac:dyDescent="0.2">
      <c r="A81" s="388"/>
      <c r="B81" s="443"/>
      <c r="C81" s="444"/>
      <c r="D81" s="444"/>
      <c r="E81" s="444"/>
      <c r="F81" s="444"/>
      <c r="G81" s="444"/>
      <c r="H81" s="444"/>
      <c r="I81" s="444"/>
      <c r="J81" s="444"/>
      <c r="K81" s="444"/>
      <c r="L81" s="444"/>
      <c r="M81" s="445"/>
      <c r="N81" s="458"/>
      <c r="O81" s="459"/>
      <c r="P81" s="459"/>
      <c r="Q81" s="459"/>
      <c r="R81" s="459"/>
      <c r="S81" s="459"/>
      <c r="T81" s="459"/>
      <c r="U81" s="459"/>
      <c r="V81" s="459"/>
      <c r="W81" s="459"/>
      <c r="X81" s="459"/>
      <c r="Y81" s="460"/>
    </row>
    <row r="82" spans="1:25" s="135" customFormat="1" ht="21" customHeight="1" thickBot="1" x14ac:dyDescent="0.25">
      <c r="A82" s="389"/>
      <c r="B82" s="396" t="str">
        <f>IF(ISBLANK(B80),"",CONCATENATE($E$17,$F$17,".",$G$17,".","0",RIGHT($B$64,1),".",RIGHT(L82,1),$A80,IF(COUNTIFS(B80,"*op?ional*")=1,"-ij","")))</f>
        <v>M60.22.03.S6-ij</v>
      </c>
      <c r="C82" s="397"/>
      <c r="D82" s="398"/>
      <c r="E82" s="366">
        <v>4</v>
      </c>
      <c r="F82" s="361" t="s">
        <v>267</v>
      </c>
      <c r="G82" s="365">
        <v>14</v>
      </c>
      <c r="H82" s="362">
        <v>14</v>
      </c>
      <c r="I82" s="362">
        <v>0</v>
      </c>
      <c r="J82" s="363">
        <v>0</v>
      </c>
      <c r="K82" s="307"/>
      <c r="L82" s="308" t="s">
        <v>151</v>
      </c>
      <c r="M82" s="360">
        <v>72</v>
      </c>
      <c r="N82" s="396" t="str">
        <f>IF(ISBLANK(N80),"",CONCATENATE($E$17,$F$17,".",$G$17,".","0",RIGHT($N$64,1),".",RIGHT(X82,1),$A80,IF(COUNTIFS(N80,"*op?ional*")=1,"-ij","")))</f>
        <v/>
      </c>
      <c r="O82" s="397"/>
      <c r="P82" s="398"/>
      <c r="Q82" s="313"/>
      <c r="R82" s="313"/>
      <c r="S82" s="314"/>
      <c r="T82" s="315"/>
      <c r="U82" s="315"/>
      <c r="V82" s="315"/>
      <c r="W82" s="316"/>
      <c r="X82" s="317"/>
      <c r="Y82" s="318"/>
    </row>
    <row r="83" spans="1:25" s="135" customFormat="1" ht="21" customHeight="1" thickTop="1" x14ac:dyDescent="0.2">
      <c r="A83" s="387" t="s">
        <v>51</v>
      </c>
      <c r="B83" s="440"/>
      <c r="C83" s="441"/>
      <c r="D83" s="441"/>
      <c r="E83" s="441"/>
      <c r="F83" s="441"/>
      <c r="G83" s="441"/>
      <c r="H83" s="441"/>
      <c r="I83" s="441"/>
      <c r="J83" s="441"/>
      <c r="K83" s="441"/>
      <c r="L83" s="441"/>
      <c r="M83" s="442"/>
      <c r="N83" s="455"/>
      <c r="O83" s="456"/>
      <c r="P83" s="456"/>
      <c r="Q83" s="456"/>
      <c r="R83" s="456"/>
      <c r="S83" s="456"/>
      <c r="T83" s="456"/>
      <c r="U83" s="456"/>
      <c r="V83" s="456"/>
      <c r="W83" s="456"/>
      <c r="X83" s="456"/>
      <c r="Y83" s="457"/>
    </row>
    <row r="84" spans="1:25" s="135" customFormat="1" ht="21" customHeight="1" x14ac:dyDescent="0.2">
      <c r="A84" s="388"/>
      <c r="B84" s="443"/>
      <c r="C84" s="444"/>
      <c r="D84" s="444"/>
      <c r="E84" s="444"/>
      <c r="F84" s="444"/>
      <c r="G84" s="444"/>
      <c r="H84" s="444"/>
      <c r="I84" s="444"/>
      <c r="J84" s="444"/>
      <c r="K84" s="444"/>
      <c r="L84" s="444"/>
      <c r="M84" s="445"/>
      <c r="N84" s="458"/>
      <c r="O84" s="459"/>
      <c r="P84" s="459"/>
      <c r="Q84" s="459"/>
      <c r="R84" s="459"/>
      <c r="S84" s="459"/>
      <c r="T84" s="459"/>
      <c r="U84" s="459"/>
      <c r="V84" s="459"/>
      <c r="W84" s="459"/>
      <c r="X84" s="459"/>
      <c r="Y84" s="460"/>
    </row>
    <row r="85" spans="1:25" s="135" customFormat="1" ht="21" customHeight="1" thickBot="1" x14ac:dyDescent="0.25">
      <c r="A85" s="389"/>
      <c r="B85" s="396" t="str">
        <f>IF(ISBLANK(B83),"",CONCATENATE($E$17,$F$17,".",$G$17,".","0",RIGHT($B$64,1),".",RIGHT(L85,1),$A83,IF(COUNTIFS(B83,"*op?ional*")=1,"-ij","")))</f>
        <v/>
      </c>
      <c r="C85" s="397"/>
      <c r="D85" s="398"/>
      <c r="E85" s="304"/>
      <c r="F85" s="304"/>
      <c r="G85" s="305"/>
      <c r="H85" s="306"/>
      <c r="I85" s="306"/>
      <c r="J85" s="306"/>
      <c r="K85" s="307"/>
      <c r="L85" s="308"/>
      <c r="M85" s="309"/>
      <c r="N85" s="396" t="str">
        <f>IF(ISBLANK(N83),"",CONCATENATE($E$17,$F$17,".",$G$17,".","0",RIGHT($N$64,1),".",RIGHT(X85,1),$A83,IF(COUNTIFS(N83,"*op?ional*")=1,"-ij","")))</f>
        <v/>
      </c>
      <c r="O85" s="397"/>
      <c r="P85" s="398"/>
      <c r="Q85" s="313"/>
      <c r="R85" s="313"/>
      <c r="S85" s="314"/>
      <c r="T85" s="315"/>
      <c r="U85" s="315"/>
      <c r="V85" s="315"/>
      <c r="W85" s="316"/>
      <c r="X85" s="317"/>
      <c r="Y85" s="318"/>
    </row>
    <row r="86" spans="1:25" s="135" customFormat="1" ht="21" customHeight="1" thickTop="1" x14ac:dyDescent="0.2">
      <c r="A86" s="387" t="s">
        <v>211</v>
      </c>
      <c r="B86" s="440"/>
      <c r="C86" s="441"/>
      <c r="D86" s="441"/>
      <c r="E86" s="441"/>
      <c r="F86" s="441"/>
      <c r="G86" s="441"/>
      <c r="H86" s="441"/>
      <c r="I86" s="441"/>
      <c r="J86" s="441"/>
      <c r="K86" s="441"/>
      <c r="L86" s="441"/>
      <c r="M86" s="442"/>
      <c r="N86" s="455"/>
      <c r="O86" s="456"/>
      <c r="P86" s="456"/>
      <c r="Q86" s="456"/>
      <c r="R86" s="456"/>
      <c r="S86" s="456"/>
      <c r="T86" s="456"/>
      <c r="U86" s="456"/>
      <c r="V86" s="456"/>
      <c r="W86" s="456"/>
      <c r="X86" s="456"/>
      <c r="Y86" s="457"/>
    </row>
    <row r="87" spans="1:25" s="135" customFormat="1" ht="21" customHeight="1" x14ac:dyDescent="0.2">
      <c r="A87" s="388"/>
      <c r="B87" s="443"/>
      <c r="C87" s="444"/>
      <c r="D87" s="444"/>
      <c r="E87" s="444"/>
      <c r="F87" s="444"/>
      <c r="G87" s="444"/>
      <c r="H87" s="444"/>
      <c r="I87" s="444"/>
      <c r="J87" s="444"/>
      <c r="K87" s="444"/>
      <c r="L87" s="444"/>
      <c r="M87" s="445"/>
      <c r="N87" s="458"/>
      <c r="O87" s="459"/>
      <c r="P87" s="459"/>
      <c r="Q87" s="459"/>
      <c r="R87" s="459"/>
      <c r="S87" s="459"/>
      <c r="T87" s="459"/>
      <c r="U87" s="459"/>
      <c r="V87" s="459"/>
      <c r="W87" s="459"/>
      <c r="X87" s="459"/>
      <c r="Y87" s="460"/>
    </row>
    <row r="88" spans="1:25" s="135" customFormat="1" ht="21" customHeight="1" thickBot="1" x14ac:dyDescent="0.25">
      <c r="A88" s="389"/>
      <c r="B88" s="396" t="str">
        <f>IF(ISBLANK(B86),"",CONCATENATE($E$17,$F$17,".",$G$17,".","0",RIGHT($B$64,1),".",RIGHT(L88,1),$A86,IF(COUNTIFS(B86,"*op?ional*")=1,"-ij","")))</f>
        <v/>
      </c>
      <c r="C88" s="397"/>
      <c r="D88" s="398"/>
      <c r="E88" s="304"/>
      <c r="F88" s="304"/>
      <c r="G88" s="305"/>
      <c r="H88" s="306"/>
      <c r="I88" s="306"/>
      <c r="J88" s="306"/>
      <c r="K88" s="307"/>
      <c r="L88" s="308"/>
      <c r="M88" s="309"/>
      <c r="N88" s="396" t="str">
        <f>IF(ISBLANK(N86),"",CONCATENATE($E$17,$F$17,".",$G$17,".","0",RIGHT($N$64,1),".",RIGHT(X88,1),$A86,IF(COUNTIFS(N86,"*op?ional*")=1,"-ij","")))</f>
        <v/>
      </c>
      <c r="O88" s="397"/>
      <c r="P88" s="398"/>
      <c r="Q88" s="313"/>
      <c r="R88" s="313"/>
      <c r="S88" s="314"/>
      <c r="T88" s="315"/>
      <c r="U88" s="315"/>
      <c r="V88" s="315"/>
      <c r="W88" s="316"/>
      <c r="X88" s="317"/>
      <c r="Y88" s="318"/>
    </row>
    <row r="89" spans="1:25" s="135" customFormat="1" ht="21" customHeight="1" thickTop="1" x14ac:dyDescent="0.2">
      <c r="A89" s="387" t="s">
        <v>212</v>
      </c>
      <c r="B89" s="440"/>
      <c r="C89" s="441"/>
      <c r="D89" s="441"/>
      <c r="E89" s="441"/>
      <c r="F89" s="441"/>
      <c r="G89" s="441"/>
      <c r="H89" s="441"/>
      <c r="I89" s="441"/>
      <c r="J89" s="441"/>
      <c r="K89" s="441"/>
      <c r="L89" s="441"/>
      <c r="M89" s="442"/>
      <c r="N89" s="455"/>
      <c r="O89" s="456"/>
      <c r="P89" s="456"/>
      <c r="Q89" s="456"/>
      <c r="R89" s="456"/>
      <c r="S89" s="456"/>
      <c r="T89" s="456"/>
      <c r="U89" s="456"/>
      <c r="V89" s="456"/>
      <c r="W89" s="456"/>
      <c r="X89" s="456"/>
      <c r="Y89" s="457"/>
    </row>
    <row r="90" spans="1:25" s="135" customFormat="1" ht="21" customHeight="1" x14ac:dyDescent="0.2">
      <c r="A90" s="388"/>
      <c r="B90" s="443"/>
      <c r="C90" s="444"/>
      <c r="D90" s="444"/>
      <c r="E90" s="444"/>
      <c r="F90" s="444"/>
      <c r="G90" s="444"/>
      <c r="H90" s="444"/>
      <c r="I90" s="444"/>
      <c r="J90" s="444"/>
      <c r="K90" s="444"/>
      <c r="L90" s="444"/>
      <c r="M90" s="445"/>
      <c r="N90" s="458"/>
      <c r="O90" s="459"/>
      <c r="P90" s="459"/>
      <c r="Q90" s="459"/>
      <c r="R90" s="459"/>
      <c r="S90" s="459"/>
      <c r="T90" s="459"/>
      <c r="U90" s="459"/>
      <c r="V90" s="459"/>
      <c r="W90" s="459"/>
      <c r="X90" s="459"/>
      <c r="Y90" s="460"/>
    </row>
    <row r="91" spans="1:25" s="135" customFormat="1" ht="21" customHeight="1" thickBot="1" x14ac:dyDescent="0.25">
      <c r="A91" s="389"/>
      <c r="B91" s="396" t="str">
        <f>IF(ISBLANK(B89),"",CONCATENATE($E$17,$F$17,".",$G$17,".","0",RIGHT($B$64,1),".",RIGHT(L91,1),$A89,IF(COUNTIFS(B89,"*op?ional*")=1,"-ij","")))</f>
        <v/>
      </c>
      <c r="C91" s="397"/>
      <c r="D91" s="398"/>
      <c r="E91" s="304"/>
      <c r="F91" s="304"/>
      <c r="G91" s="305"/>
      <c r="H91" s="306"/>
      <c r="I91" s="306"/>
      <c r="J91" s="306"/>
      <c r="K91" s="307"/>
      <c r="L91" s="308"/>
      <c r="M91" s="309"/>
      <c r="N91" s="396" t="str">
        <f>IF(ISBLANK(N89),"",CONCATENATE($E$17,$F$17,".",$G$17,".","0",RIGHT($N$64,1),".",RIGHT(X91,1),$A89,IF(COUNTIFS(N89,"*op?ional*")=1,"-ij","")))</f>
        <v/>
      </c>
      <c r="O91" s="397"/>
      <c r="P91" s="398"/>
      <c r="Q91" s="313"/>
      <c r="R91" s="313"/>
      <c r="S91" s="314"/>
      <c r="T91" s="315"/>
      <c r="U91" s="315"/>
      <c r="V91" s="315"/>
      <c r="W91" s="316"/>
      <c r="X91" s="317"/>
      <c r="Y91" s="318"/>
    </row>
    <row r="92" spans="1:25" s="100" customFormat="1" ht="21" customHeight="1" thickTop="1" x14ac:dyDescent="0.2">
      <c r="A92" s="387" t="s">
        <v>226</v>
      </c>
      <c r="B92" s="432" t="s">
        <v>270</v>
      </c>
      <c r="C92" s="433"/>
      <c r="D92" s="433"/>
      <c r="E92" s="433"/>
      <c r="F92" s="433"/>
      <c r="G92" s="433"/>
      <c r="H92" s="433"/>
      <c r="I92" s="433"/>
      <c r="J92" s="433"/>
      <c r="K92" s="433"/>
      <c r="L92" s="433"/>
      <c r="M92" s="434"/>
      <c r="N92" s="432" t="s">
        <v>270</v>
      </c>
      <c r="O92" s="433"/>
      <c r="P92" s="433"/>
      <c r="Q92" s="433"/>
      <c r="R92" s="433"/>
      <c r="S92" s="433"/>
      <c r="T92" s="433"/>
      <c r="U92" s="433"/>
      <c r="V92" s="433"/>
      <c r="W92" s="433"/>
      <c r="X92" s="433"/>
      <c r="Y92" s="434"/>
    </row>
    <row r="93" spans="1:25" s="100" customFormat="1" ht="21" customHeight="1" x14ac:dyDescent="0.2">
      <c r="A93" s="388"/>
      <c r="B93" s="435"/>
      <c r="C93" s="436"/>
      <c r="D93" s="436"/>
      <c r="E93" s="436"/>
      <c r="F93" s="436"/>
      <c r="G93" s="436"/>
      <c r="H93" s="436"/>
      <c r="I93" s="436"/>
      <c r="J93" s="436"/>
      <c r="K93" s="436"/>
      <c r="L93" s="436"/>
      <c r="M93" s="437"/>
      <c r="N93" s="435"/>
      <c r="O93" s="436"/>
      <c r="P93" s="436"/>
      <c r="Q93" s="436"/>
      <c r="R93" s="436"/>
      <c r="S93" s="436"/>
      <c r="T93" s="436"/>
      <c r="U93" s="436"/>
      <c r="V93" s="436"/>
      <c r="W93" s="436"/>
      <c r="X93" s="436"/>
      <c r="Y93" s="437"/>
    </row>
    <row r="94" spans="1:25" s="100" customFormat="1" ht="21" customHeight="1" thickBot="1" x14ac:dyDescent="0.25">
      <c r="A94" s="389"/>
      <c r="B94" s="396" t="str">
        <f>IF(ISBLANK(B92),"",CONCATENATE($E$17,$F$17,".",$G$17,".","0",RIGHT($B$64,1),".",RIGHT(L94,1),$A92,"-ij"))</f>
        <v>M60.22.03.10-ij</v>
      </c>
      <c r="C94" s="397"/>
      <c r="D94" s="398"/>
      <c r="E94" s="345">
        <v>2</v>
      </c>
      <c r="F94" s="345" t="s">
        <v>4</v>
      </c>
      <c r="G94" s="346"/>
      <c r="H94" s="347"/>
      <c r="I94" s="347"/>
      <c r="J94" s="347"/>
      <c r="K94" s="348"/>
      <c r="L94" s="345"/>
      <c r="M94" s="349"/>
      <c r="N94" s="396" t="str">
        <f>IF(ISBLANK(N92),"",CONCATENATE($E$17,$F$17,".",$G$17,".","0",RIGHT($N$64,1),".",RIGHT(X94,1),$A92,"-ij"))</f>
        <v>M60.22.04.10-ij</v>
      </c>
      <c r="O94" s="397"/>
      <c r="P94" s="398"/>
      <c r="Q94" s="350"/>
      <c r="R94" s="350"/>
      <c r="S94" s="351"/>
      <c r="T94" s="352"/>
      <c r="U94" s="352"/>
      <c r="V94" s="352"/>
      <c r="W94" s="353"/>
      <c r="X94" s="345"/>
      <c r="Y94" s="349"/>
    </row>
    <row r="95" spans="1:25" s="70" customFormat="1" ht="21" customHeight="1" thickTop="1" x14ac:dyDescent="0.2">
      <c r="A95" s="479" t="s">
        <v>48</v>
      </c>
      <c r="B95" s="101" t="s">
        <v>52</v>
      </c>
      <c r="C95" s="102"/>
      <c r="D95" s="102"/>
      <c r="E95" s="416">
        <f>SUM(G67:J67,G70:J70,G73:J73,G76:J76,G79:J79,G82:J82,G91:J91,G85:J85,G88:J88)</f>
        <v>224</v>
      </c>
      <c r="F95" s="417"/>
      <c r="G95" s="103" t="s">
        <v>5</v>
      </c>
      <c r="H95" s="104"/>
      <c r="I95" s="104"/>
      <c r="J95" s="104"/>
      <c r="K95" s="104"/>
      <c r="L95" s="105"/>
      <c r="M95" s="106">
        <f>SUM(M67,M70,M73,M76,M79,M82,M91,M85,M88)</f>
        <v>526</v>
      </c>
      <c r="N95" s="101" t="s">
        <v>52</v>
      </c>
      <c r="O95" s="102"/>
      <c r="P95" s="102"/>
      <c r="Q95" s="426">
        <f>SUM(S67:V67,S70:V70,S73:V73,S76:V76,S79:V79,S82:V82,S91:V91,S85:V85,S88:V88)</f>
        <v>105</v>
      </c>
      <c r="R95" s="427"/>
      <c r="S95" s="103" t="s">
        <v>5</v>
      </c>
      <c r="T95" s="104"/>
      <c r="U95" s="104"/>
      <c r="V95" s="104"/>
      <c r="W95" s="104"/>
      <c r="X95" s="105"/>
      <c r="Y95" s="136">
        <f>SUM(Y67,Y70,Y73,Y76,Y79,Y82,Y85,Y88,Y91)</f>
        <v>517</v>
      </c>
    </row>
    <row r="96" spans="1:25" s="70" customFormat="1" ht="21" customHeight="1" x14ac:dyDescent="0.2">
      <c r="A96" s="480"/>
      <c r="B96" s="451" t="s">
        <v>53</v>
      </c>
      <c r="C96" s="452"/>
      <c r="D96" s="452"/>
      <c r="E96" s="418">
        <f>SUM(G67:K67,G70:K70,G73:K73,G76:K76,G79:K79,G82:K82,G91:K91,G85:K85,G88:K88)</f>
        <v>224</v>
      </c>
      <c r="F96" s="419"/>
      <c r="G96" s="451" t="s">
        <v>55</v>
      </c>
      <c r="H96" s="452"/>
      <c r="I96" s="452"/>
      <c r="J96" s="107"/>
      <c r="K96" s="107"/>
      <c r="L96" s="108"/>
      <c r="M96" s="109">
        <f>E96+M95</f>
        <v>750</v>
      </c>
      <c r="N96" s="451" t="s">
        <v>53</v>
      </c>
      <c r="O96" s="452"/>
      <c r="P96" s="452"/>
      <c r="Q96" s="428">
        <f>SUM(S67:W67,S70:W70,S73:W73,S76:W76,S79:W79,S82:W82,S91:W91,S85:W85,S88:W88)</f>
        <v>233</v>
      </c>
      <c r="R96" s="429"/>
      <c r="S96" s="451" t="s">
        <v>55</v>
      </c>
      <c r="T96" s="452"/>
      <c r="U96" s="452"/>
      <c r="V96" s="110"/>
      <c r="W96" s="110"/>
      <c r="X96" s="111"/>
      <c r="Y96" s="137">
        <f>Q96+Y95</f>
        <v>750</v>
      </c>
    </row>
    <row r="97" spans="1:25" s="70" customFormat="1" ht="21" customHeight="1" thickBot="1" x14ac:dyDescent="0.25">
      <c r="A97" s="481"/>
      <c r="B97" s="453" t="s">
        <v>6</v>
      </c>
      <c r="C97" s="454"/>
      <c r="D97" s="113"/>
      <c r="E97" s="420">
        <f>SUM(E67,E70,E73,E76,E79,E82,E91,E85,E88)</f>
        <v>30</v>
      </c>
      <c r="F97" s="421"/>
      <c r="G97" s="449" t="s">
        <v>7</v>
      </c>
      <c r="H97" s="450"/>
      <c r="I97" s="450"/>
      <c r="J97" s="450"/>
      <c r="K97" s="450"/>
      <c r="L97" s="475" t="str">
        <f>AZ420</f>
        <v>2E,4D,0C</v>
      </c>
      <c r="M97" s="476"/>
      <c r="N97" s="477" t="s">
        <v>6</v>
      </c>
      <c r="O97" s="478"/>
      <c r="P97" s="114"/>
      <c r="Q97" s="430" t="str">
        <f>CONCATENATE(SUM(Q67,Q70,Q73,Q76,Q79,Q82,Q85,Q88,Q91,-CT448),"+",CT448,"*")</f>
        <v>30+10*</v>
      </c>
      <c r="R97" s="431"/>
      <c r="S97" s="449" t="s">
        <v>7</v>
      </c>
      <c r="T97" s="450"/>
      <c r="U97" s="450"/>
      <c r="V97" s="450"/>
      <c r="W97" s="115"/>
      <c r="X97" s="438" t="str">
        <f>AZ421</f>
        <v>2E,2D,0C</v>
      </c>
      <c r="Y97" s="439"/>
    </row>
    <row r="98" spans="1:25" s="70" customFormat="1" ht="21" customHeight="1" thickTop="1" x14ac:dyDescent="0.2">
      <c r="A98" s="479" t="s">
        <v>49</v>
      </c>
      <c r="B98" s="101" t="s">
        <v>52</v>
      </c>
      <c r="C98" s="102"/>
      <c r="D98" s="102"/>
      <c r="E98" s="422">
        <f>SUM(G100:J100)</f>
        <v>16</v>
      </c>
      <c r="F98" s="423"/>
      <c r="G98" s="103" t="s">
        <v>5</v>
      </c>
      <c r="H98" s="104"/>
      <c r="I98" s="104"/>
      <c r="J98" s="104"/>
      <c r="K98" s="104"/>
      <c r="L98" s="105"/>
      <c r="M98" s="116">
        <f>M95/14</f>
        <v>37.571428571428569</v>
      </c>
      <c r="N98" s="101" t="s">
        <v>52</v>
      </c>
      <c r="O98" s="102"/>
      <c r="P98" s="102"/>
      <c r="Q98" s="422">
        <f>SUM(S100:V100)</f>
        <v>7.5</v>
      </c>
      <c r="R98" s="423"/>
      <c r="S98" s="103" t="s">
        <v>5</v>
      </c>
      <c r="T98" s="104"/>
      <c r="U98" s="104"/>
      <c r="V98" s="104"/>
      <c r="W98" s="104"/>
      <c r="X98" s="117"/>
      <c r="Y98" s="118">
        <f>Y95/14</f>
        <v>36.928571428571431</v>
      </c>
    </row>
    <row r="99" spans="1:25" s="70" customFormat="1" ht="21" customHeight="1" x14ac:dyDescent="0.2">
      <c r="A99" s="480"/>
      <c r="B99" s="451" t="s">
        <v>53</v>
      </c>
      <c r="C99" s="452"/>
      <c r="D99" s="452"/>
      <c r="E99" s="424">
        <f>SUM(G100:K100)</f>
        <v>16</v>
      </c>
      <c r="F99" s="425"/>
      <c r="G99" s="451" t="s">
        <v>55</v>
      </c>
      <c r="H99" s="452"/>
      <c r="I99" s="452"/>
      <c r="J99" s="107"/>
      <c r="K99" s="107"/>
      <c r="L99" s="88"/>
      <c r="M99" s="119">
        <f>E99+M98</f>
        <v>53.571428571428569</v>
      </c>
      <c r="N99" s="451" t="s">
        <v>53</v>
      </c>
      <c r="O99" s="452"/>
      <c r="P99" s="452"/>
      <c r="Q99" s="424">
        <f>SUM(S100:W100)</f>
        <v>16.642857142857142</v>
      </c>
      <c r="R99" s="425"/>
      <c r="S99" s="451" t="s">
        <v>55</v>
      </c>
      <c r="T99" s="452"/>
      <c r="U99" s="452"/>
      <c r="V99" s="120"/>
      <c r="W99" s="120"/>
      <c r="X99" s="121"/>
      <c r="Y99" s="122">
        <f>Y96/14</f>
        <v>53.571428571428569</v>
      </c>
    </row>
    <row r="100" spans="1:25" s="70" customFormat="1" ht="21" customHeight="1" thickBot="1" x14ac:dyDescent="0.25">
      <c r="A100" s="487"/>
      <c r="B100" s="449" t="s">
        <v>8</v>
      </c>
      <c r="C100" s="450"/>
      <c r="D100" s="123"/>
      <c r="E100" s="123"/>
      <c r="F100" s="124"/>
      <c r="G100" s="125">
        <f>(G67+G70+G73+G76+G79+G82+G91+G85+G88)/14</f>
        <v>8</v>
      </c>
      <c r="H100" s="125">
        <f>(H67+H70+H73+H76+H79+H82+H91+H85+H88)/14</f>
        <v>5</v>
      </c>
      <c r="I100" s="125">
        <f t="shared" ref="I100:K100" si="2">(I67+I70+I73+I76+I79+I82+I91+I85+I88)/14</f>
        <v>0</v>
      </c>
      <c r="J100" s="125">
        <f t="shared" si="2"/>
        <v>3</v>
      </c>
      <c r="K100" s="125">
        <f t="shared" si="2"/>
        <v>0</v>
      </c>
      <c r="L100" s="488" t="s">
        <v>54</v>
      </c>
      <c r="M100" s="489"/>
      <c r="N100" s="449" t="s">
        <v>8</v>
      </c>
      <c r="O100" s="450"/>
      <c r="P100" s="123"/>
      <c r="Q100" s="123"/>
      <c r="R100" s="124"/>
      <c r="S100" s="125">
        <f>(S67+S70+S73+S76+S79+S82+S85+S88+S91)/14</f>
        <v>1</v>
      </c>
      <c r="T100" s="125">
        <f>(T67+T70+T73+T76+T79+T82+T85+T88+T91)/14</f>
        <v>0.5</v>
      </c>
      <c r="U100" s="125">
        <f t="shared" ref="U100:W100" si="3">(U67+U70+U73+U76+U79+U82+U85+U88+U91)/14</f>
        <v>0</v>
      </c>
      <c r="V100" s="125">
        <f t="shared" si="3"/>
        <v>6</v>
      </c>
      <c r="W100" s="125">
        <f t="shared" si="3"/>
        <v>9.1428571428571423</v>
      </c>
      <c r="X100" s="488" t="s">
        <v>54</v>
      </c>
      <c r="Y100" s="489"/>
    </row>
    <row r="101" spans="1:25" ht="21" customHeight="1" thickTop="1" x14ac:dyDescent="0.2">
      <c r="A101" s="409" t="s">
        <v>272</v>
      </c>
      <c r="B101" s="409"/>
      <c r="C101" s="409"/>
      <c r="D101" s="409"/>
      <c r="E101" s="409"/>
      <c r="F101" s="409"/>
      <c r="G101" s="409"/>
      <c r="H101" s="409"/>
      <c r="I101" s="409"/>
      <c r="J101" s="409"/>
      <c r="K101" s="409"/>
      <c r="L101" s="409"/>
      <c r="M101" s="409"/>
      <c r="N101" s="409"/>
      <c r="O101" s="409"/>
      <c r="P101" s="409"/>
      <c r="Q101" s="409"/>
      <c r="R101" s="409"/>
      <c r="S101" s="409"/>
      <c r="T101" s="409"/>
      <c r="U101" s="409"/>
      <c r="V101" s="409"/>
      <c r="W101" s="409"/>
      <c r="X101" s="409"/>
      <c r="Y101" s="409"/>
    </row>
    <row r="102" spans="1:25" s="70" customFormat="1" ht="21" customHeight="1" x14ac:dyDescent="0.25">
      <c r="A102" s="399" t="s">
        <v>271</v>
      </c>
      <c r="B102" s="399"/>
      <c r="C102" s="399"/>
      <c r="D102" s="399"/>
      <c r="E102" s="399"/>
      <c r="F102" s="399"/>
      <c r="G102" s="399"/>
      <c r="H102" s="399"/>
      <c r="I102" s="399"/>
      <c r="J102" s="399"/>
      <c r="K102" s="399"/>
      <c r="L102" s="399"/>
      <c r="M102" s="399"/>
      <c r="N102" s="399"/>
      <c r="O102" s="399"/>
      <c r="P102" s="399"/>
      <c r="Q102" s="399"/>
      <c r="R102" s="399"/>
      <c r="S102" s="399"/>
      <c r="T102" s="399"/>
      <c r="U102" s="399"/>
      <c r="V102" s="399"/>
      <c r="W102" s="399"/>
      <c r="X102" s="399"/>
      <c r="Y102" s="399"/>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Conf.univ.dr.arh. Cristian-Tiberiu BLIDARIU</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03" t="s">
        <v>37</v>
      </c>
      <c r="B109" s="403"/>
      <c r="C109" s="403"/>
      <c r="D109" s="403"/>
      <c r="E109" s="403"/>
      <c r="F109" s="403"/>
      <c r="G109" s="403"/>
      <c r="H109" s="403"/>
      <c r="I109" s="403"/>
      <c r="J109" s="403"/>
      <c r="K109" s="403"/>
      <c r="L109" s="403"/>
      <c r="M109" s="403"/>
      <c r="N109" s="403"/>
      <c r="O109" s="403"/>
      <c r="P109" s="403"/>
      <c r="Q109" s="403"/>
      <c r="R109" s="403"/>
      <c r="S109" s="403"/>
      <c r="T109" s="403"/>
      <c r="U109" s="403"/>
      <c r="V109" s="403"/>
      <c r="W109" s="403"/>
      <c r="X109" s="403"/>
      <c r="Y109" s="403"/>
    </row>
    <row r="110" spans="1:25" s="98" customFormat="1" ht="21" customHeight="1" x14ac:dyDescent="0.25">
      <c r="A110" s="404" t="str">
        <f>A20</f>
        <v>Pentru seria de studenti 2022-2024</v>
      </c>
      <c r="B110" s="404"/>
      <c r="C110" s="404"/>
      <c r="D110" s="404"/>
      <c r="E110" s="404"/>
      <c r="F110" s="404"/>
      <c r="G110" s="404"/>
      <c r="H110" s="404"/>
      <c r="I110" s="404"/>
      <c r="J110" s="404"/>
      <c r="K110" s="404"/>
      <c r="L110" s="404"/>
      <c r="M110" s="404"/>
      <c r="N110" s="404"/>
      <c r="O110" s="404"/>
      <c r="P110" s="404"/>
      <c r="Q110" s="404"/>
      <c r="R110" s="404"/>
      <c r="S110" s="404"/>
      <c r="T110" s="404"/>
      <c r="U110" s="404"/>
      <c r="V110" s="404"/>
      <c r="W110" s="404"/>
      <c r="X110" s="404"/>
      <c r="Y110" s="404"/>
    </row>
    <row r="111" spans="1:25" ht="21" customHeight="1" thickBot="1" x14ac:dyDescent="0.3">
      <c r="A111" s="405" t="str">
        <f>A21</f>
        <v>ANUL I (2022-2023)</v>
      </c>
      <c r="B111" s="405"/>
      <c r="C111" s="405"/>
      <c r="D111" s="405"/>
      <c r="E111" s="405"/>
      <c r="F111" s="405"/>
      <c r="G111" s="405"/>
      <c r="H111" s="405"/>
      <c r="I111" s="405"/>
      <c r="J111" s="405"/>
      <c r="K111" s="405"/>
      <c r="L111" s="405"/>
      <c r="M111" s="405"/>
      <c r="N111" s="405"/>
      <c r="O111" s="405"/>
      <c r="P111" s="405"/>
      <c r="Q111" s="405"/>
      <c r="R111" s="405"/>
      <c r="S111" s="405"/>
      <c r="T111" s="405"/>
      <c r="U111" s="405"/>
      <c r="V111" s="405"/>
      <c r="W111" s="405"/>
      <c r="X111" s="405"/>
      <c r="Y111" s="405"/>
    </row>
    <row r="112" spans="1:25" ht="21" customHeight="1" thickTop="1" thickBot="1" x14ac:dyDescent="0.25">
      <c r="A112" s="99"/>
      <c r="B112" s="406" t="s">
        <v>0</v>
      </c>
      <c r="C112" s="407"/>
      <c r="D112" s="407"/>
      <c r="E112" s="407"/>
      <c r="F112" s="407"/>
      <c r="G112" s="407"/>
      <c r="H112" s="407"/>
      <c r="I112" s="407"/>
      <c r="J112" s="407"/>
      <c r="K112" s="407"/>
      <c r="L112" s="407"/>
      <c r="M112" s="408"/>
      <c r="N112" s="407" t="s">
        <v>1</v>
      </c>
      <c r="O112" s="407"/>
      <c r="P112" s="407"/>
      <c r="Q112" s="407"/>
      <c r="R112" s="407"/>
      <c r="S112" s="407"/>
      <c r="T112" s="407"/>
      <c r="U112" s="407"/>
      <c r="V112" s="407"/>
      <c r="W112" s="407"/>
      <c r="X112" s="407"/>
      <c r="Y112" s="408"/>
    </row>
    <row r="113" spans="1:25" s="135" customFormat="1" ht="21" customHeight="1" thickTop="1" x14ac:dyDescent="0.2">
      <c r="A113" s="388" t="s">
        <v>33</v>
      </c>
      <c r="B113" s="410" t="s">
        <v>313</v>
      </c>
      <c r="C113" s="411"/>
      <c r="D113" s="411"/>
      <c r="E113" s="411"/>
      <c r="F113" s="411"/>
      <c r="G113" s="411"/>
      <c r="H113" s="411"/>
      <c r="I113" s="411"/>
      <c r="J113" s="411"/>
      <c r="K113" s="411"/>
      <c r="L113" s="411"/>
      <c r="M113" s="412"/>
      <c r="N113" s="410" t="s">
        <v>317</v>
      </c>
      <c r="O113" s="411"/>
      <c r="P113" s="411"/>
      <c r="Q113" s="411"/>
      <c r="R113" s="411"/>
      <c r="S113" s="411"/>
      <c r="T113" s="411"/>
      <c r="U113" s="411"/>
      <c r="V113" s="411"/>
      <c r="W113" s="411"/>
      <c r="X113" s="411"/>
      <c r="Y113" s="412"/>
    </row>
    <row r="114" spans="1:25" s="135" customFormat="1" ht="21" customHeight="1" x14ac:dyDescent="0.2">
      <c r="A114" s="388"/>
      <c r="B114" s="413"/>
      <c r="C114" s="414"/>
      <c r="D114" s="414"/>
      <c r="E114" s="414"/>
      <c r="F114" s="414"/>
      <c r="G114" s="414"/>
      <c r="H114" s="414"/>
      <c r="I114" s="414"/>
      <c r="J114" s="414"/>
      <c r="K114" s="414"/>
      <c r="L114" s="414"/>
      <c r="M114" s="415"/>
      <c r="N114" s="413"/>
      <c r="O114" s="414"/>
      <c r="P114" s="414"/>
      <c r="Q114" s="414"/>
      <c r="R114" s="414"/>
      <c r="S114" s="414"/>
      <c r="T114" s="414"/>
      <c r="U114" s="414"/>
      <c r="V114" s="414"/>
      <c r="W114" s="414"/>
      <c r="X114" s="414"/>
      <c r="Y114" s="415"/>
    </row>
    <row r="115" spans="1:25" s="135" customFormat="1" ht="21" customHeight="1" thickBot="1" x14ac:dyDescent="0.25">
      <c r="A115" s="389"/>
      <c r="B115" s="396" t="str">
        <f>IF(ISBLANK(B113),"",CONCATENATE(LEFT(INDEX(B$23:B$49,MATCH(LEFT(B113,11)&amp;"*",B$23:B$49,0)+2),FIND("-",INDEX(B$23:B$49,MATCH(LEFT(B113,11)&amp;"*",B$23:B$49,0)+2))),$A113))</f>
        <v>M60.22.01.S5-01</v>
      </c>
      <c r="C115" s="397"/>
      <c r="D115" s="398"/>
      <c r="E115" s="364">
        <v>4</v>
      </c>
      <c r="F115" s="361" t="s">
        <v>4</v>
      </c>
      <c r="G115" s="365">
        <v>28</v>
      </c>
      <c r="H115" s="362">
        <v>0</v>
      </c>
      <c r="I115" s="362">
        <v>0</v>
      </c>
      <c r="J115" s="363">
        <v>0</v>
      </c>
      <c r="K115" s="312"/>
      <c r="L115" s="308" t="s">
        <v>151</v>
      </c>
      <c r="M115" s="360">
        <v>72</v>
      </c>
      <c r="N115" s="396" t="str">
        <f>IF(ISBLANK(N113),"",CONCATENATE(LEFT(INDEX(N$23:N$49,MATCH(LEFT(N113,11)&amp;"*",N$23:N$49,0)+2),FIND("-",INDEX(N$23:N$49,MATCH(LEFT(N113,11)&amp;"*",N$23:N$49,0)+2))),$A113))</f>
        <v>M60.22.02.S5-01</v>
      </c>
      <c r="O115" s="397"/>
      <c r="P115" s="398"/>
      <c r="Q115" s="364">
        <v>3</v>
      </c>
      <c r="R115" s="361" t="s">
        <v>4</v>
      </c>
      <c r="S115" s="365">
        <v>28</v>
      </c>
      <c r="T115" s="362">
        <v>0</v>
      </c>
      <c r="U115" s="362">
        <v>0</v>
      </c>
      <c r="V115" s="363">
        <v>0</v>
      </c>
      <c r="W115" s="307"/>
      <c r="X115" s="308" t="s">
        <v>151</v>
      </c>
      <c r="Y115" s="309">
        <v>47</v>
      </c>
    </row>
    <row r="116" spans="1:25" s="135" customFormat="1" ht="21" customHeight="1" thickTop="1" x14ac:dyDescent="0.2">
      <c r="A116" s="388" t="s">
        <v>34</v>
      </c>
      <c r="B116" s="446" t="s">
        <v>314</v>
      </c>
      <c r="C116" s="447"/>
      <c r="D116" s="447"/>
      <c r="E116" s="447"/>
      <c r="F116" s="447"/>
      <c r="G116" s="447"/>
      <c r="H116" s="447"/>
      <c r="I116" s="447"/>
      <c r="J116" s="447"/>
      <c r="K116" s="447"/>
      <c r="L116" s="447"/>
      <c r="M116" s="448"/>
      <c r="N116" s="410" t="s">
        <v>318</v>
      </c>
      <c r="O116" s="411"/>
      <c r="P116" s="411"/>
      <c r="Q116" s="411"/>
      <c r="R116" s="411"/>
      <c r="S116" s="411"/>
      <c r="T116" s="411"/>
      <c r="U116" s="411"/>
      <c r="V116" s="411"/>
      <c r="W116" s="411"/>
      <c r="X116" s="411"/>
      <c r="Y116" s="412"/>
    </row>
    <row r="117" spans="1:25" s="135" customFormat="1" ht="21" customHeight="1" x14ac:dyDescent="0.2">
      <c r="A117" s="388"/>
      <c r="B117" s="413"/>
      <c r="C117" s="414"/>
      <c r="D117" s="414"/>
      <c r="E117" s="414"/>
      <c r="F117" s="414"/>
      <c r="G117" s="414"/>
      <c r="H117" s="414"/>
      <c r="I117" s="414"/>
      <c r="J117" s="414"/>
      <c r="K117" s="414"/>
      <c r="L117" s="414"/>
      <c r="M117" s="415"/>
      <c r="N117" s="413"/>
      <c r="O117" s="414"/>
      <c r="P117" s="414"/>
      <c r="Q117" s="414"/>
      <c r="R117" s="414"/>
      <c r="S117" s="414"/>
      <c r="T117" s="414"/>
      <c r="U117" s="414"/>
      <c r="V117" s="414"/>
      <c r="W117" s="414"/>
      <c r="X117" s="414"/>
      <c r="Y117" s="415"/>
    </row>
    <row r="118" spans="1:25" s="135" customFormat="1" ht="21" customHeight="1" thickBot="1" x14ac:dyDescent="0.25">
      <c r="A118" s="389"/>
      <c r="B118" s="396" t="str">
        <f>IF(ISBLANK(B116),"",CONCATENATE(LEFT(INDEX(B$23:B$49,MATCH(LEFT(B116,11)&amp;"*",B$23:B$49,0)+2),FIND("-",INDEX(B$23:B$49,MATCH(LEFT(B116,11)&amp;"*",B$23:B$49,0)+2))),$A116))</f>
        <v>M60.22.01.S5-02</v>
      </c>
      <c r="C118" s="397"/>
      <c r="D118" s="398"/>
      <c r="E118" s="364">
        <v>4</v>
      </c>
      <c r="F118" s="361" t="s">
        <v>4</v>
      </c>
      <c r="G118" s="365">
        <v>28</v>
      </c>
      <c r="H118" s="362">
        <v>0</v>
      </c>
      <c r="I118" s="362">
        <v>0</v>
      </c>
      <c r="J118" s="363">
        <v>0</v>
      </c>
      <c r="K118" s="312"/>
      <c r="L118" s="308" t="s">
        <v>151</v>
      </c>
      <c r="M118" s="360">
        <v>72</v>
      </c>
      <c r="N118" s="396" t="str">
        <f>IF(ISBLANK(N116),"",CONCATENATE(LEFT(INDEX(N$23:N$49,MATCH(LEFT(N116,11)&amp;"*",N$23:N$49,0)+2),FIND("-",INDEX(N$23:N$49,MATCH(LEFT(N116,11)&amp;"*",N$23:N$49,0)+2))),$A116))</f>
        <v>M60.22.02.S5-02</v>
      </c>
      <c r="O118" s="397"/>
      <c r="P118" s="398"/>
      <c r="Q118" s="364">
        <v>3</v>
      </c>
      <c r="R118" s="361" t="s">
        <v>4</v>
      </c>
      <c r="S118" s="365">
        <v>28</v>
      </c>
      <c r="T118" s="362">
        <v>0</v>
      </c>
      <c r="U118" s="362">
        <v>0</v>
      </c>
      <c r="V118" s="363">
        <v>0</v>
      </c>
      <c r="W118" s="307"/>
      <c r="X118" s="308" t="s">
        <v>151</v>
      </c>
      <c r="Y118" s="309">
        <v>47</v>
      </c>
    </row>
    <row r="119" spans="1:25" s="135" customFormat="1" ht="21" customHeight="1" thickTop="1" x14ac:dyDescent="0.2">
      <c r="A119" s="387" t="s">
        <v>35</v>
      </c>
      <c r="B119" s="410" t="s">
        <v>315</v>
      </c>
      <c r="C119" s="411"/>
      <c r="D119" s="411"/>
      <c r="E119" s="411"/>
      <c r="F119" s="411"/>
      <c r="G119" s="411"/>
      <c r="H119" s="411"/>
      <c r="I119" s="411"/>
      <c r="J119" s="411"/>
      <c r="K119" s="411"/>
      <c r="L119" s="411"/>
      <c r="M119" s="412"/>
      <c r="N119" s="410" t="s">
        <v>319</v>
      </c>
      <c r="O119" s="411"/>
      <c r="P119" s="411"/>
      <c r="Q119" s="411"/>
      <c r="R119" s="411"/>
      <c r="S119" s="411"/>
      <c r="T119" s="411"/>
      <c r="U119" s="411"/>
      <c r="V119" s="411"/>
      <c r="W119" s="411"/>
      <c r="X119" s="411"/>
      <c r="Y119" s="412"/>
    </row>
    <row r="120" spans="1:25" s="135" customFormat="1" ht="21" customHeight="1" x14ac:dyDescent="0.2">
      <c r="A120" s="388"/>
      <c r="B120" s="413"/>
      <c r="C120" s="414"/>
      <c r="D120" s="414"/>
      <c r="E120" s="414"/>
      <c r="F120" s="414"/>
      <c r="G120" s="414"/>
      <c r="H120" s="414"/>
      <c r="I120" s="414"/>
      <c r="J120" s="414"/>
      <c r="K120" s="414"/>
      <c r="L120" s="414"/>
      <c r="M120" s="415"/>
      <c r="N120" s="413"/>
      <c r="O120" s="414"/>
      <c r="P120" s="414"/>
      <c r="Q120" s="414"/>
      <c r="R120" s="414"/>
      <c r="S120" s="414"/>
      <c r="T120" s="414"/>
      <c r="U120" s="414"/>
      <c r="V120" s="414"/>
      <c r="W120" s="414"/>
      <c r="X120" s="414"/>
      <c r="Y120" s="415"/>
    </row>
    <row r="121" spans="1:25" s="135" customFormat="1" ht="21" customHeight="1" thickBot="1" x14ac:dyDescent="0.25">
      <c r="A121" s="389"/>
      <c r="B121" s="396" t="str">
        <f>IF(ISBLANK(B119),"",CONCATENATE(LEFT(INDEX(B$23:B$49,MATCH(LEFT(B119,11)&amp;"*",B$23:B$49,0)+2),FIND("-",INDEX(B$23:B$49,MATCH(LEFT(B119,11)&amp;"*",B$23:B$49,0)+2))),$A119))</f>
        <v>M60.22.01.S5-03</v>
      </c>
      <c r="C121" s="397"/>
      <c r="D121" s="398"/>
      <c r="E121" s="364">
        <v>4</v>
      </c>
      <c r="F121" s="361" t="s">
        <v>4</v>
      </c>
      <c r="G121" s="365">
        <v>28</v>
      </c>
      <c r="H121" s="362">
        <v>0</v>
      </c>
      <c r="I121" s="362">
        <v>0</v>
      </c>
      <c r="J121" s="363">
        <v>0</v>
      </c>
      <c r="K121" s="307"/>
      <c r="L121" s="308" t="s">
        <v>151</v>
      </c>
      <c r="M121" s="360">
        <v>72</v>
      </c>
      <c r="N121" s="396" t="str">
        <f>IF(ISBLANK(N119),"",CONCATENATE(LEFT(INDEX(N$23:N$49,MATCH(LEFT(N119,11)&amp;"*",N$23:N$49,0)+2),FIND("-",INDEX(N$23:N$49,MATCH(LEFT(N119,11)&amp;"*",N$23:N$49,0)+2))),$A119))</f>
        <v>M60.22.02.S5-03</v>
      </c>
      <c r="O121" s="397"/>
      <c r="P121" s="398"/>
      <c r="Q121" s="364">
        <v>3</v>
      </c>
      <c r="R121" s="361" t="s">
        <v>4</v>
      </c>
      <c r="S121" s="365">
        <v>14</v>
      </c>
      <c r="T121" s="362">
        <v>14</v>
      </c>
      <c r="U121" s="362">
        <v>0</v>
      </c>
      <c r="V121" s="363">
        <v>0</v>
      </c>
      <c r="W121" s="312"/>
      <c r="X121" s="308" t="s">
        <v>151</v>
      </c>
      <c r="Y121" s="309">
        <v>47</v>
      </c>
    </row>
    <row r="122" spans="1:25" s="135" customFormat="1" ht="21" customHeight="1" thickTop="1" x14ac:dyDescent="0.2">
      <c r="A122" s="387" t="s">
        <v>36</v>
      </c>
      <c r="B122" s="410" t="s">
        <v>316</v>
      </c>
      <c r="C122" s="411"/>
      <c r="D122" s="411"/>
      <c r="E122" s="411"/>
      <c r="F122" s="411"/>
      <c r="G122" s="411"/>
      <c r="H122" s="411"/>
      <c r="I122" s="411"/>
      <c r="J122" s="411"/>
      <c r="K122" s="411"/>
      <c r="L122" s="411"/>
      <c r="M122" s="412"/>
      <c r="N122" s="410" t="s">
        <v>320</v>
      </c>
      <c r="O122" s="411"/>
      <c r="P122" s="411"/>
      <c r="Q122" s="411"/>
      <c r="R122" s="411"/>
      <c r="S122" s="411"/>
      <c r="T122" s="411"/>
      <c r="U122" s="411"/>
      <c r="V122" s="411"/>
      <c r="W122" s="411"/>
      <c r="X122" s="411"/>
      <c r="Y122" s="412"/>
    </row>
    <row r="123" spans="1:25" s="135" customFormat="1" ht="21" customHeight="1" x14ac:dyDescent="0.2">
      <c r="A123" s="388"/>
      <c r="B123" s="413"/>
      <c r="C123" s="414"/>
      <c r="D123" s="414"/>
      <c r="E123" s="414"/>
      <c r="F123" s="414"/>
      <c r="G123" s="414"/>
      <c r="H123" s="414"/>
      <c r="I123" s="414"/>
      <c r="J123" s="414"/>
      <c r="K123" s="414"/>
      <c r="L123" s="414"/>
      <c r="M123" s="415"/>
      <c r="N123" s="413"/>
      <c r="O123" s="414"/>
      <c r="P123" s="414"/>
      <c r="Q123" s="414"/>
      <c r="R123" s="414"/>
      <c r="S123" s="414"/>
      <c r="T123" s="414"/>
      <c r="U123" s="414"/>
      <c r="V123" s="414"/>
      <c r="W123" s="414"/>
      <c r="X123" s="414"/>
      <c r="Y123" s="415"/>
    </row>
    <row r="124" spans="1:25" s="135" customFormat="1" ht="21" customHeight="1" thickBot="1" x14ac:dyDescent="0.25">
      <c r="A124" s="389"/>
      <c r="B124" s="396" t="str">
        <f>IF(ISBLANK(B122),"",CONCATENATE(LEFT(INDEX(B$23:B$49,MATCH(LEFT(B122,11)&amp;"*",B$23:B$49,0)+2),FIND("-",INDEX(B$23:B$49,MATCH(LEFT(B122,11)&amp;"*",B$23:B$49,0)+2))),$A122))</f>
        <v>M60.22.01.S5-04</v>
      </c>
      <c r="C124" s="397"/>
      <c r="D124" s="398"/>
      <c r="E124" s="364">
        <v>4</v>
      </c>
      <c r="F124" s="361" t="s">
        <v>4</v>
      </c>
      <c r="G124" s="365">
        <v>28</v>
      </c>
      <c r="H124" s="362">
        <v>0</v>
      </c>
      <c r="I124" s="362">
        <v>0</v>
      </c>
      <c r="J124" s="363">
        <v>0</v>
      </c>
      <c r="K124" s="307"/>
      <c r="L124" s="308" t="s">
        <v>151</v>
      </c>
      <c r="M124" s="360">
        <v>72</v>
      </c>
      <c r="N124" s="396" t="str">
        <f>IF(ISBLANK(N122),"",CONCATENATE(LEFT(INDEX(N$23:N$49,MATCH(LEFT(N122,11)&amp;"*",N$23:N$49,0)+2),FIND("-",INDEX(N$23:N$49,MATCH(LEFT(N122,11)&amp;"*",N$23:N$49,0)+2))),$A122))</f>
        <v>M60.22.02.S5-04</v>
      </c>
      <c r="O124" s="397"/>
      <c r="P124" s="398"/>
      <c r="Q124" s="364">
        <v>3</v>
      </c>
      <c r="R124" s="361" t="s">
        <v>4</v>
      </c>
      <c r="S124" s="365">
        <v>14</v>
      </c>
      <c r="T124" s="362">
        <v>14</v>
      </c>
      <c r="U124" s="362">
        <v>0</v>
      </c>
      <c r="V124" s="363">
        <v>0</v>
      </c>
      <c r="W124" s="312"/>
      <c r="X124" s="308" t="s">
        <v>151</v>
      </c>
      <c r="Y124" s="309">
        <v>47</v>
      </c>
    </row>
    <row r="125" spans="1:25" s="135" customFormat="1" ht="21" customHeight="1" thickTop="1" x14ac:dyDescent="0.2">
      <c r="A125" s="387" t="s">
        <v>38</v>
      </c>
      <c r="B125" s="410"/>
      <c r="C125" s="411"/>
      <c r="D125" s="411"/>
      <c r="E125" s="411"/>
      <c r="F125" s="411"/>
      <c r="G125" s="411"/>
      <c r="H125" s="411"/>
      <c r="I125" s="411"/>
      <c r="J125" s="411"/>
      <c r="K125" s="411"/>
      <c r="L125" s="411"/>
      <c r="M125" s="412"/>
      <c r="N125" s="410"/>
      <c r="O125" s="411"/>
      <c r="P125" s="411"/>
      <c r="Q125" s="411"/>
      <c r="R125" s="411"/>
      <c r="S125" s="411"/>
      <c r="T125" s="411"/>
      <c r="U125" s="411"/>
      <c r="V125" s="411"/>
      <c r="W125" s="411"/>
      <c r="X125" s="411"/>
      <c r="Y125" s="412"/>
    </row>
    <row r="126" spans="1:25" s="135" customFormat="1" ht="21" customHeight="1" x14ac:dyDescent="0.2">
      <c r="A126" s="388"/>
      <c r="B126" s="413"/>
      <c r="C126" s="414"/>
      <c r="D126" s="414"/>
      <c r="E126" s="414"/>
      <c r="F126" s="414"/>
      <c r="G126" s="414"/>
      <c r="H126" s="414"/>
      <c r="I126" s="414"/>
      <c r="J126" s="414"/>
      <c r="K126" s="414"/>
      <c r="L126" s="414"/>
      <c r="M126" s="415"/>
      <c r="N126" s="413"/>
      <c r="O126" s="414"/>
      <c r="P126" s="414"/>
      <c r="Q126" s="414"/>
      <c r="R126" s="414"/>
      <c r="S126" s="414"/>
      <c r="T126" s="414"/>
      <c r="U126" s="414"/>
      <c r="V126" s="414"/>
      <c r="W126" s="414"/>
      <c r="X126" s="414"/>
      <c r="Y126" s="415"/>
    </row>
    <row r="127" spans="1:25" s="135" customFormat="1" ht="21" customHeight="1" thickBot="1" x14ac:dyDescent="0.25">
      <c r="A127" s="389"/>
      <c r="B127" s="396" t="str">
        <f>IF(ISBLANK(B125),"",CONCATENATE(LEFT(INDEX(B$23:B$49,MATCH(LEFT(B125,11)&amp;"*",B$23:B$49,0)+2),FIND("-",INDEX(B$23:B$49,MATCH(LEFT(B125,11)&amp;"*",B$23:B$49,0)+2))),$A125))</f>
        <v/>
      </c>
      <c r="C127" s="397"/>
      <c r="D127" s="398"/>
      <c r="E127" s="304"/>
      <c r="F127" s="304"/>
      <c r="G127" s="305"/>
      <c r="H127" s="306"/>
      <c r="I127" s="306"/>
      <c r="J127" s="306"/>
      <c r="K127" s="307"/>
      <c r="L127" s="308"/>
      <c r="M127" s="309"/>
      <c r="N127" s="396" t="str">
        <f>IF(ISBLANK(N125),"",CONCATENATE(LEFT(INDEX(N$23:N$49,MATCH(LEFT(N125,11)&amp;"*",N$23:N$49,0)+2),FIND("-",INDEX(N$23:N$49,MATCH(LEFT(N125,11)&amp;"*",N$23:N$49,0)+2))),$A125))</f>
        <v/>
      </c>
      <c r="O127" s="397"/>
      <c r="P127" s="398"/>
      <c r="Q127" s="304"/>
      <c r="R127" s="304"/>
      <c r="S127" s="305"/>
      <c r="T127" s="306"/>
      <c r="U127" s="306"/>
      <c r="V127" s="306"/>
      <c r="W127" s="307"/>
      <c r="X127" s="308"/>
      <c r="Y127" s="309"/>
    </row>
    <row r="128" spans="1:25" s="135" customFormat="1" ht="21" customHeight="1" thickTop="1" x14ac:dyDescent="0.2">
      <c r="A128" s="387" t="s">
        <v>39</v>
      </c>
      <c r="B128" s="410"/>
      <c r="C128" s="411"/>
      <c r="D128" s="411"/>
      <c r="E128" s="411"/>
      <c r="F128" s="411"/>
      <c r="G128" s="411"/>
      <c r="H128" s="411"/>
      <c r="I128" s="411"/>
      <c r="J128" s="411"/>
      <c r="K128" s="411"/>
      <c r="L128" s="411"/>
      <c r="M128" s="412"/>
      <c r="N128" s="410"/>
      <c r="O128" s="411"/>
      <c r="P128" s="411"/>
      <c r="Q128" s="411"/>
      <c r="R128" s="411"/>
      <c r="S128" s="411"/>
      <c r="T128" s="411"/>
      <c r="U128" s="411"/>
      <c r="V128" s="411"/>
      <c r="W128" s="411"/>
      <c r="X128" s="411"/>
      <c r="Y128" s="412"/>
    </row>
    <row r="129" spans="1:74" s="135" customFormat="1" ht="21" customHeight="1" x14ac:dyDescent="0.2">
      <c r="A129" s="388"/>
      <c r="B129" s="413"/>
      <c r="C129" s="414"/>
      <c r="D129" s="414"/>
      <c r="E129" s="414"/>
      <c r="F129" s="414"/>
      <c r="G129" s="414"/>
      <c r="H129" s="414"/>
      <c r="I129" s="414"/>
      <c r="J129" s="414"/>
      <c r="K129" s="414"/>
      <c r="L129" s="414"/>
      <c r="M129" s="415"/>
      <c r="N129" s="413"/>
      <c r="O129" s="414"/>
      <c r="P129" s="414"/>
      <c r="Q129" s="414"/>
      <c r="R129" s="414"/>
      <c r="S129" s="414"/>
      <c r="T129" s="414"/>
      <c r="U129" s="414"/>
      <c r="V129" s="414"/>
      <c r="W129" s="414"/>
      <c r="X129" s="414"/>
      <c r="Y129" s="415"/>
    </row>
    <row r="130" spans="1:74" s="135" customFormat="1" ht="21" customHeight="1" thickBot="1" x14ac:dyDescent="0.25">
      <c r="A130" s="389"/>
      <c r="B130" s="396" t="str">
        <f>IF(ISBLANK(B128),"",CONCATENATE(LEFT(INDEX(B$23:B$49,MATCH(LEFT(B128,11)&amp;"*",B$23:B$49,0)+2),FIND("-",INDEX(B$23:B$49,MATCH(LEFT(B128,11)&amp;"*",B$23:B$49,0)+2))),$A128))</f>
        <v/>
      </c>
      <c r="C130" s="397"/>
      <c r="D130" s="398"/>
      <c r="E130" s="304"/>
      <c r="F130" s="304"/>
      <c r="G130" s="305"/>
      <c r="H130" s="306"/>
      <c r="I130" s="306"/>
      <c r="J130" s="306"/>
      <c r="K130" s="307"/>
      <c r="L130" s="308"/>
      <c r="M130" s="309"/>
      <c r="N130" s="396" t="str">
        <f>IF(ISBLANK(N128),"",CONCATENATE(LEFT(INDEX(N$23:N$49,MATCH(LEFT(N128,11)&amp;"*",N$23:N$49,0)+2),FIND("-",INDEX(N$23:N$49,MATCH(LEFT(N128,11)&amp;"*",N$23:N$49,0)+2))),$A128))</f>
        <v/>
      </c>
      <c r="O130" s="397"/>
      <c r="P130" s="398"/>
      <c r="Q130" s="304"/>
      <c r="R130" s="304"/>
      <c r="S130" s="305"/>
      <c r="T130" s="306"/>
      <c r="U130" s="306"/>
      <c r="V130" s="306"/>
      <c r="W130" s="307"/>
      <c r="X130" s="308"/>
      <c r="Y130" s="309"/>
    </row>
    <row r="131" spans="1:74" s="135" customFormat="1" ht="21" customHeight="1" thickTop="1" x14ac:dyDescent="0.2">
      <c r="A131" s="387" t="s">
        <v>213</v>
      </c>
      <c r="B131" s="410"/>
      <c r="C131" s="411"/>
      <c r="D131" s="411"/>
      <c r="E131" s="411"/>
      <c r="F131" s="411"/>
      <c r="G131" s="411"/>
      <c r="H131" s="411"/>
      <c r="I131" s="411"/>
      <c r="J131" s="411"/>
      <c r="K131" s="411"/>
      <c r="L131" s="411"/>
      <c r="M131" s="412"/>
      <c r="N131" s="410"/>
      <c r="O131" s="411"/>
      <c r="P131" s="411"/>
      <c r="Q131" s="411"/>
      <c r="R131" s="411"/>
      <c r="S131" s="411"/>
      <c r="T131" s="411"/>
      <c r="U131" s="411"/>
      <c r="V131" s="411"/>
      <c r="W131" s="411"/>
      <c r="X131" s="411"/>
      <c r="Y131" s="412"/>
    </row>
    <row r="132" spans="1:74" s="135" customFormat="1" ht="21" customHeight="1" x14ac:dyDescent="0.2">
      <c r="A132" s="388"/>
      <c r="B132" s="413"/>
      <c r="C132" s="414"/>
      <c r="D132" s="414"/>
      <c r="E132" s="414"/>
      <c r="F132" s="414"/>
      <c r="G132" s="414"/>
      <c r="H132" s="414"/>
      <c r="I132" s="414"/>
      <c r="J132" s="414"/>
      <c r="K132" s="414"/>
      <c r="L132" s="414"/>
      <c r="M132" s="415"/>
      <c r="N132" s="413"/>
      <c r="O132" s="414"/>
      <c r="P132" s="414"/>
      <c r="Q132" s="414"/>
      <c r="R132" s="414"/>
      <c r="S132" s="414"/>
      <c r="T132" s="414"/>
      <c r="U132" s="414"/>
      <c r="V132" s="414"/>
      <c r="W132" s="414"/>
      <c r="X132" s="414"/>
      <c r="Y132" s="415"/>
    </row>
    <row r="133" spans="1:74" s="135" customFormat="1" ht="21" customHeight="1" thickBot="1" x14ac:dyDescent="0.25">
      <c r="A133" s="389"/>
      <c r="B133" s="396" t="str">
        <f>IF(ISBLANK(B131),"",CONCATENATE(LEFT(INDEX(B$23:B$49,MATCH(LEFT(B131,11)&amp;"*",B$23:B$49,0)+2),FIND("-",INDEX(B$23:B$49,MATCH(LEFT(B131,11)&amp;"*",B$23:B$49,0)+2))),$A131))</f>
        <v/>
      </c>
      <c r="C133" s="397"/>
      <c r="D133" s="398"/>
      <c r="E133" s="304"/>
      <c r="F133" s="304"/>
      <c r="G133" s="305"/>
      <c r="H133" s="306"/>
      <c r="I133" s="306"/>
      <c r="J133" s="306"/>
      <c r="K133" s="307"/>
      <c r="L133" s="308"/>
      <c r="M133" s="309"/>
      <c r="N133" s="396" t="str">
        <f>IF(ISBLANK(N131),"",CONCATENATE(LEFT(INDEX(N$23:N$49,MATCH(LEFT(N131,11)&amp;"*",N$23:N$49,0)+2),FIND("-",INDEX(N$23:N$49,MATCH(LEFT(N131,11)&amp;"*",N$23:N$49,0)+2))),$A131))</f>
        <v/>
      </c>
      <c r="O133" s="397"/>
      <c r="P133" s="398"/>
      <c r="Q133" s="304"/>
      <c r="R133" s="304"/>
      <c r="S133" s="305"/>
      <c r="T133" s="306"/>
      <c r="U133" s="306"/>
      <c r="V133" s="306"/>
      <c r="W133" s="307"/>
      <c r="X133" s="308"/>
      <c r="Y133" s="309"/>
    </row>
    <row r="134" spans="1:74" s="135" customFormat="1" ht="21" customHeight="1" thickTop="1" x14ac:dyDescent="0.2">
      <c r="A134" s="387" t="s">
        <v>214</v>
      </c>
      <c r="B134" s="410"/>
      <c r="C134" s="411"/>
      <c r="D134" s="411"/>
      <c r="E134" s="411"/>
      <c r="F134" s="411"/>
      <c r="G134" s="411"/>
      <c r="H134" s="411"/>
      <c r="I134" s="411"/>
      <c r="J134" s="411"/>
      <c r="K134" s="411"/>
      <c r="L134" s="411"/>
      <c r="M134" s="412"/>
      <c r="N134" s="410"/>
      <c r="O134" s="411"/>
      <c r="P134" s="411"/>
      <c r="Q134" s="411"/>
      <c r="R134" s="411"/>
      <c r="S134" s="411"/>
      <c r="T134" s="411"/>
      <c r="U134" s="411"/>
      <c r="V134" s="411"/>
      <c r="W134" s="411"/>
      <c r="X134" s="411"/>
      <c r="Y134" s="412"/>
    </row>
    <row r="135" spans="1:74" s="135" customFormat="1" ht="21" customHeight="1" x14ac:dyDescent="0.2">
      <c r="A135" s="388"/>
      <c r="B135" s="413"/>
      <c r="C135" s="414"/>
      <c r="D135" s="414"/>
      <c r="E135" s="414"/>
      <c r="F135" s="414"/>
      <c r="G135" s="414"/>
      <c r="H135" s="414"/>
      <c r="I135" s="414"/>
      <c r="J135" s="414"/>
      <c r="K135" s="414"/>
      <c r="L135" s="414"/>
      <c r="M135" s="415"/>
      <c r="N135" s="413"/>
      <c r="O135" s="414"/>
      <c r="P135" s="414"/>
      <c r="Q135" s="414"/>
      <c r="R135" s="414"/>
      <c r="S135" s="414"/>
      <c r="T135" s="414"/>
      <c r="U135" s="414"/>
      <c r="V135" s="414"/>
      <c r="W135" s="414"/>
      <c r="X135" s="414"/>
      <c r="Y135" s="415"/>
    </row>
    <row r="136" spans="1:74" s="135" customFormat="1" ht="21" customHeight="1" thickBot="1" x14ac:dyDescent="0.25">
      <c r="A136" s="389"/>
      <c r="B136" s="396" t="str">
        <f>IF(ISBLANK(B134),"",CONCATENATE(LEFT(INDEX(B$23:B$49,MATCH(LEFT(B134,11)&amp;"*",B$23:B$49,0)+2),FIND("-",INDEX(B$23:B$49,MATCH(LEFT(B134,11)&amp;"*",B$23:B$49,0)+2))),$A134))</f>
        <v/>
      </c>
      <c r="C136" s="397"/>
      <c r="D136" s="398"/>
      <c r="E136" s="304"/>
      <c r="F136" s="304"/>
      <c r="G136" s="305"/>
      <c r="H136" s="306"/>
      <c r="I136" s="306"/>
      <c r="J136" s="306"/>
      <c r="K136" s="307"/>
      <c r="L136" s="308"/>
      <c r="M136" s="309"/>
      <c r="N136" s="396" t="str">
        <f>IF(ISBLANK(N134),"",CONCATENATE(LEFT(INDEX(N$23:N$49,MATCH(LEFT(N134,11)&amp;"*",N$23:N$49,0)+2),FIND("-",INDEX(N$23:N$49,MATCH(LEFT(N134,11)&amp;"*",N$23:N$49,0)+2))),$A134))</f>
        <v/>
      </c>
      <c r="O136" s="397"/>
      <c r="P136" s="398"/>
      <c r="Q136" s="304"/>
      <c r="R136" s="304"/>
      <c r="S136" s="305"/>
      <c r="T136" s="306"/>
      <c r="U136" s="306"/>
      <c r="V136" s="306"/>
      <c r="W136" s="307"/>
      <c r="X136" s="308"/>
      <c r="Y136" s="309"/>
    </row>
    <row r="137" spans="1:74" s="135" customFormat="1" ht="21" customHeight="1" thickTop="1" x14ac:dyDescent="0.2">
      <c r="A137" s="387" t="s">
        <v>225</v>
      </c>
      <c r="B137" s="410"/>
      <c r="C137" s="411"/>
      <c r="D137" s="411"/>
      <c r="E137" s="411"/>
      <c r="F137" s="411"/>
      <c r="G137" s="411"/>
      <c r="H137" s="411"/>
      <c r="I137" s="411"/>
      <c r="J137" s="411"/>
      <c r="K137" s="411"/>
      <c r="L137" s="411"/>
      <c r="M137" s="412"/>
      <c r="N137" s="410"/>
      <c r="O137" s="411"/>
      <c r="P137" s="411"/>
      <c r="Q137" s="411"/>
      <c r="R137" s="411"/>
      <c r="S137" s="411"/>
      <c r="T137" s="411"/>
      <c r="U137" s="411"/>
      <c r="V137" s="411"/>
      <c r="W137" s="411"/>
      <c r="X137" s="411"/>
      <c r="Y137" s="412"/>
    </row>
    <row r="138" spans="1:74" s="135" customFormat="1" ht="21" customHeight="1" x14ac:dyDescent="0.2">
      <c r="A138" s="388"/>
      <c r="B138" s="413"/>
      <c r="C138" s="414"/>
      <c r="D138" s="414"/>
      <c r="E138" s="414"/>
      <c r="F138" s="414"/>
      <c r="G138" s="414"/>
      <c r="H138" s="414"/>
      <c r="I138" s="414"/>
      <c r="J138" s="414"/>
      <c r="K138" s="414"/>
      <c r="L138" s="414"/>
      <c r="M138" s="415"/>
      <c r="N138" s="413"/>
      <c r="O138" s="414"/>
      <c r="P138" s="414"/>
      <c r="Q138" s="414"/>
      <c r="R138" s="414"/>
      <c r="S138" s="414"/>
      <c r="T138" s="414"/>
      <c r="U138" s="414"/>
      <c r="V138" s="414"/>
      <c r="W138" s="414"/>
      <c r="X138" s="414"/>
      <c r="Y138" s="415"/>
    </row>
    <row r="139" spans="1:74" s="135" customFormat="1" ht="21" customHeight="1" thickBot="1" x14ac:dyDescent="0.25">
      <c r="A139" s="389"/>
      <c r="B139" s="396" t="str">
        <f>IF(ISBLANK(B137),"",CONCATENATE(LEFT(INDEX(B$23:B$49,MATCH(LEFT(B137,11)&amp;"*",B$23:B$49,0)+2),FIND("-",INDEX(B$23:B$49,MATCH(LEFT(B137,11)&amp;"*",B$23:B$49,0)+2))),$A137))</f>
        <v/>
      </c>
      <c r="C139" s="397"/>
      <c r="D139" s="398"/>
      <c r="E139" s="304"/>
      <c r="F139" s="304"/>
      <c r="G139" s="305"/>
      <c r="H139" s="306"/>
      <c r="I139" s="306"/>
      <c r="J139" s="306"/>
      <c r="K139" s="307"/>
      <c r="L139" s="308"/>
      <c r="M139" s="309"/>
      <c r="N139" s="396" t="str">
        <f>IF(ISBLANK(N137),"",CONCATENATE(LEFT(INDEX(N$23:N$49,MATCH(LEFT(N137,11)&amp;"*",N$23:N$49,0)+2),FIND("-",INDEX(N$23:N$49,MATCH(LEFT(N137,11)&amp;"*",N$23:N$49,0)+2))),$A137))</f>
        <v/>
      </c>
      <c r="O139" s="397"/>
      <c r="P139" s="398"/>
      <c r="Q139" s="304"/>
      <c r="R139" s="304"/>
      <c r="S139" s="305"/>
      <c r="T139" s="306"/>
      <c r="U139" s="306"/>
      <c r="V139" s="306"/>
      <c r="W139" s="307"/>
      <c r="X139" s="308"/>
      <c r="Y139" s="309"/>
    </row>
    <row r="140" spans="1:74" s="135" customFormat="1" ht="21" customHeight="1" thickTop="1" x14ac:dyDescent="0.2">
      <c r="A140" s="387" t="s">
        <v>226</v>
      </c>
      <c r="B140" s="410"/>
      <c r="C140" s="411"/>
      <c r="D140" s="411"/>
      <c r="E140" s="411"/>
      <c r="F140" s="411"/>
      <c r="G140" s="411"/>
      <c r="H140" s="411"/>
      <c r="I140" s="411"/>
      <c r="J140" s="411"/>
      <c r="K140" s="411"/>
      <c r="L140" s="411"/>
      <c r="M140" s="412"/>
      <c r="N140" s="410"/>
      <c r="O140" s="411"/>
      <c r="P140" s="411"/>
      <c r="Q140" s="411"/>
      <c r="R140" s="411"/>
      <c r="S140" s="411"/>
      <c r="T140" s="411"/>
      <c r="U140" s="411"/>
      <c r="V140" s="411"/>
      <c r="W140" s="411"/>
      <c r="X140" s="411"/>
      <c r="Y140" s="412"/>
    </row>
    <row r="141" spans="1:74" s="135" customFormat="1" ht="21" customHeight="1" x14ac:dyDescent="0.2">
      <c r="A141" s="388"/>
      <c r="B141" s="413"/>
      <c r="C141" s="414"/>
      <c r="D141" s="414"/>
      <c r="E141" s="414"/>
      <c r="F141" s="414"/>
      <c r="G141" s="414"/>
      <c r="H141" s="414"/>
      <c r="I141" s="414"/>
      <c r="J141" s="414"/>
      <c r="K141" s="414"/>
      <c r="L141" s="414"/>
      <c r="M141" s="415"/>
      <c r="N141" s="413"/>
      <c r="O141" s="414"/>
      <c r="P141" s="414"/>
      <c r="Q141" s="414"/>
      <c r="R141" s="414"/>
      <c r="S141" s="414"/>
      <c r="T141" s="414"/>
      <c r="U141" s="414"/>
      <c r="V141" s="414"/>
      <c r="W141" s="414"/>
      <c r="X141" s="414"/>
      <c r="Y141" s="415"/>
    </row>
    <row r="142" spans="1:74" s="135" customFormat="1" ht="21" customHeight="1" thickBot="1" x14ac:dyDescent="0.25">
      <c r="A142" s="389"/>
      <c r="B142" s="396" t="str">
        <f>IF(ISBLANK(B140),"",CONCATENATE(LEFT(INDEX(B$23:B$49,MATCH(LEFT(B140,11)&amp;"*",B$23:B$49,0)+2),FIND("-",INDEX(B$23:B$49,MATCH(LEFT(B140,11)&amp;"*",B$23:B$49,0)+2))),$A140))</f>
        <v/>
      </c>
      <c r="C142" s="397"/>
      <c r="D142" s="398"/>
      <c r="E142" s="304"/>
      <c r="F142" s="304"/>
      <c r="G142" s="305"/>
      <c r="H142" s="306"/>
      <c r="I142" s="306"/>
      <c r="J142" s="306"/>
      <c r="K142" s="307"/>
      <c r="L142" s="308"/>
      <c r="M142" s="309"/>
      <c r="N142" s="396" t="str">
        <f>IF(ISBLANK(N140),"",CONCATENATE(LEFT(INDEX(N$23:N$49,MATCH(LEFT(N140,11)&amp;"*",N$23:N$49,0)+2),FIND("-",INDEX(N$23:N$49,MATCH(LEFT(N140,11)&amp;"*",N$23:N$49,0)+2))),$A140))</f>
        <v/>
      </c>
      <c r="O142" s="397"/>
      <c r="P142" s="398"/>
      <c r="Q142" s="304"/>
      <c r="R142" s="304"/>
      <c r="S142" s="305"/>
      <c r="T142" s="306"/>
      <c r="U142" s="306"/>
      <c r="V142" s="306"/>
      <c r="W142" s="307"/>
      <c r="X142" s="308"/>
      <c r="Y142" s="309"/>
    </row>
    <row r="143" spans="1:74" ht="21" customHeight="1" thickTop="1" x14ac:dyDescent="0.2"/>
    <row r="144" spans="1:74" ht="21" customHeight="1" x14ac:dyDescent="0.25">
      <c r="A144" s="399" t="s">
        <v>326</v>
      </c>
      <c r="B144" s="399"/>
      <c r="C144" s="399"/>
      <c r="D144" s="399"/>
      <c r="E144" s="399"/>
      <c r="F144" s="399"/>
      <c r="G144" s="399"/>
      <c r="H144" s="399"/>
      <c r="I144" s="399"/>
      <c r="J144" s="399"/>
      <c r="K144" s="399"/>
      <c r="L144" s="399"/>
      <c r="M144" s="399"/>
      <c r="N144" s="399"/>
      <c r="O144" s="399"/>
      <c r="P144" s="399"/>
      <c r="Q144" s="399"/>
      <c r="R144" s="399"/>
      <c r="S144" s="399"/>
      <c r="T144" s="399"/>
      <c r="U144" s="399"/>
      <c r="V144" s="399"/>
      <c r="W144" s="399"/>
      <c r="X144" s="399"/>
      <c r="Y144" s="399"/>
      <c r="Z144" s="355"/>
      <c r="AA144" s="355"/>
      <c r="AB144" s="355"/>
      <c r="AC144" s="355"/>
      <c r="AD144" s="355"/>
      <c r="AE144" s="355"/>
      <c r="AF144" s="355"/>
      <c r="AG144" s="355"/>
      <c r="AH144" s="355"/>
      <c r="AI144" s="355"/>
      <c r="AJ144" s="355"/>
      <c r="AK144" s="355"/>
      <c r="AL144" s="355"/>
      <c r="AM144" s="355"/>
      <c r="AN144" s="355"/>
      <c r="AO144" s="355"/>
      <c r="AP144" s="355"/>
      <c r="AQ144" s="355"/>
      <c r="AR144" s="355"/>
      <c r="AS144" s="355"/>
      <c r="AT144" s="355"/>
      <c r="AU144" s="355"/>
      <c r="AV144" s="355"/>
      <c r="AW144" s="355"/>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6"/>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55"/>
      <c r="AA145" s="355"/>
      <c r="AB145" s="355"/>
      <c r="AC145" s="355"/>
      <c r="AD145" s="355"/>
      <c r="AE145" s="355"/>
      <c r="AF145" s="355"/>
      <c r="AG145" s="355"/>
      <c r="AH145" s="355"/>
      <c r="AI145" s="355"/>
      <c r="AJ145" s="355"/>
      <c r="AK145" s="355"/>
      <c r="AL145" s="355"/>
      <c r="AM145" s="355"/>
      <c r="AN145" s="355"/>
      <c r="AO145" s="355"/>
      <c r="AP145" s="355"/>
      <c r="AQ145" s="355"/>
      <c r="AR145" s="355"/>
      <c r="AS145" s="355"/>
      <c r="AT145" s="355"/>
      <c r="AU145" s="355"/>
      <c r="AV145" s="355"/>
      <c r="AW145" s="355"/>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6"/>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55"/>
      <c r="AA146" s="355"/>
      <c r="AB146" s="355"/>
      <c r="AC146" s="355"/>
      <c r="AD146" s="355"/>
      <c r="AE146" s="355"/>
      <c r="AF146" s="355"/>
      <c r="AG146" s="355"/>
      <c r="AH146" s="355"/>
      <c r="AI146" s="355"/>
      <c r="AJ146" s="355"/>
      <c r="AK146" s="355"/>
      <c r="AL146" s="355"/>
      <c r="AM146" s="355"/>
      <c r="AN146" s="355"/>
      <c r="AO146" s="355"/>
      <c r="AP146" s="355"/>
      <c r="AQ146" s="355"/>
      <c r="AR146" s="355"/>
      <c r="AS146" s="355"/>
      <c r="AT146" s="355"/>
      <c r="AU146" s="355"/>
      <c r="AV146" s="355"/>
      <c r="AW146" s="355"/>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3" t="s">
        <v>37</v>
      </c>
      <c r="B147" s="403"/>
      <c r="C147" s="403"/>
      <c r="D147" s="403"/>
      <c r="E147" s="403"/>
      <c r="F147" s="403"/>
      <c r="G147" s="403"/>
      <c r="H147" s="403"/>
      <c r="I147" s="403"/>
      <c r="J147" s="403"/>
      <c r="K147" s="403"/>
      <c r="L147" s="403"/>
      <c r="M147" s="403"/>
      <c r="N147" s="403"/>
      <c r="O147" s="403"/>
      <c r="P147" s="403"/>
      <c r="Q147" s="403"/>
      <c r="R147" s="403"/>
      <c r="S147" s="403"/>
      <c r="T147" s="403"/>
      <c r="U147" s="403"/>
      <c r="V147" s="403"/>
      <c r="W147" s="403"/>
      <c r="X147" s="403"/>
      <c r="Y147" s="403"/>
    </row>
    <row r="148" spans="1:74" s="98" customFormat="1" ht="21" customHeight="1" x14ac:dyDescent="0.25">
      <c r="A148" s="404" t="str">
        <f>A20</f>
        <v>Pentru seria de studenti 2022-2024</v>
      </c>
      <c r="B148" s="404"/>
      <c r="C148" s="404"/>
      <c r="D148" s="404"/>
      <c r="E148" s="404"/>
      <c r="F148" s="404"/>
      <c r="G148" s="404"/>
      <c r="H148" s="404"/>
      <c r="I148" s="404"/>
      <c r="J148" s="404"/>
      <c r="K148" s="404"/>
      <c r="L148" s="404"/>
      <c r="M148" s="404"/>
      <c r="N148" s="404"/>
      <c r="O148" s="404"/>
      <c r="P148" s="404"/>
      <c r="Q148" s="404"/>
      <c r="R148" s="404"/>
      <c r="S148" s="404"/>
      <c r="T148" s="404"/>
      <c r="U148" s="404"/>
      <c r="V148" s="404"/>
      <c r="W148" s="404"/>
      <c r="X148" s="404"/>
      <c r="Y148" s="404"/>
    </row>
    <row r="149" spans="1:74" ht="21" customHeight="1" thickBot="1" x14ac:dyDescent="0.3">
      <c r="A149" s="405" t="str">
        <f>A63</f>
        <v>ANUL II (2023-2024)</v>
      </c>
      <c r="B149" s="405"/>
      <c r="C149" s="405"/>
      <c r="D149" s="405"/>
      <c r="E149" s="405"/>
      <c r="F149" s="405"/>
      <c r="G149" s="405"/>
      <c r="H149" s="405"/>
      <c r="I149" s="405"/>
      <c r="J149" s="405"/>
      <c r="K149" s="405"/>
      <c r="L149" s="405"/>
      <c r="M149" s="405"/>
      <c r="N149" s="405"/>
      <c r="O149" s="405"/>
      <c r="P149" s="405"/>
      <c r="Q149" s="405"/>
      <c r="R149" s="405"/>
      <c r="S149" s="405"/>
      <c r="T149" s="405"/>
      <c r="U149" s="405"/>
      <c r="V149" s="405"/>
      <c r="W149" s="405"/>
      <c r="X149" s="405"/>
      <c r="Y149" s="405"/>
    </row>
    <row r="150" spans="1:74" ht="21" customHeight="1" thickTop="1" thickBot="1" x14ac:dyDescent="0.25">
      <c r="A150" s="99"/>
      <c r="B150" s="406" t="s">
        <v>2</v>
      </c>
      <c r="C150" s="407"/>
      <c r="D150" s="407"/>
      <c r="E150" s="407"/>
      <c r="F150" s="407"/>
      <c r="G150" s="407"/>
      <c r="H150" s="407"/>
      <c r="I150" s="407"/>
      <c r="J150" s="407"/>
      <c r="K150" s="407"/>
      <c r="L150" s="407"/>
      <c r="M150" s="408"/>
      <c r="N150" s="407" t="s">
        <v>3</v>
      </c>
      <c r="O150" s="407"/>
      <c r="P150" s="407"/>
      <c r="Q150" s="407"/>
      <c r="R150" s="407"/>
      <c r="S150" s="407"/>
      <c r="T150" s="407"/>
      <c r="U150" s="407"/>
      <c r="V150" s="407"/>
      <c r="W150" s="407"/>
      <c r="X150" s="407"/>
      <c r="Y150" s="408"/>
    </row>
    <row r="151" spans="1:74" s="135" customFormat="1" ht="21" customHeight="1" thickTop="1" x14ac:dyDescent="0.2">
      <c r="A151" s="388" t="s">
        <v>33</v>
      </c>
      <c r="B151" s="446" t="s">
        <v>321</v>
      </c>
      <c r="C151" s="447"/>
      <c r="D151" s="447"/>
      <c r="E151" s="447"/>
      <c r="F151" s="447"/>
      <c r="G151" s="447"/>
      <c r="H151" s="447"/>
      <c r="I151" s="447"/>
      <c r="J151" s="447"/>
      <c r="K151" s="447"/>
      <c r="L151" s="447"/>
      <c r="M151" s="448"/>
      <c r="N151" s="410"/>
      <c r="O151" s="411"/>
      <c r="P151" s="411"/>
      <c r="Q151" s="411"/>
      <c r="R151" s="411"/>
      <c r="S151" s="411"/>
      <c r="T151" s="411"/>
      <c r="U151" s="411"/>
      <c r="V151" s="411"/>
      <c r="W151" s="411"/>
      <c r="X151" s="411"/>
      <c r="Y151" s="412"/>
    </row>
    <row r="152" spans="1:74" s="135" customFormat="1" ht="21" customHeight="1" x14ac:dyDescent="0.2">
      <c r="A152" s="388"/>
      <c r="B152" s="413"/>
      <c r="C152" s="414"/>
      <c r="D152" s="414"/>
      <c r="E152" s="414"/>
      <c r="F152" s="414"/>
      <c r="G152" s="414"/>
      <c r="H152" s="414"/>
      <c r="I152" s="414"/>
      <c r="J152" s="414"/>
      <c r="K152" s="414"/>
      <c r="L152" s="414"/>
      <c r="M152" s="415"/>
      <c r="N152" s="413"/>
      <c r="O152" s="414"/>
      <c r="P152" s="414"/>
      <c r="Q152" s="414"/>
      <c r="R152" s="414"/>
      <c r="S152" s="414"/>
      <c r="T152" s="414"/>
      <c r="U152" s="414"/>
      <c r="V152" s="414"/>
      <c r="W152" s="414"/>
      <c r="X152" s="414"/>
      <c r="Y152" s="415"/>
    </row>
    <row r="153" spans="1:74" s="135" customFormat="1" ht="21" customHeight="1" thickBot="1" x14ac:dyDescent="0.25">
      <c r="A153" s="389"/>
      <c r="B153" s="396" t="str">
        <f>IF(ISBLANK(B151),"",CONCATENATE(LEFT(INDEX(B$65:B$91,MATCH(LEFT(B151,11)&amp;"*",B$65:B$91,0)+2),FIND("-",INDEX(B$65:B$91,MATCH(LEFT(B151,11)&amp;"*",B$65:B$91,0)+2))),$A151))</f>
        <v>M60.22.03.S5-01</v>
      </c>
      <c r="C153" s="397"/>
      <c r="D153" s="398"/>
      <c r="E153" s="366">
        <v>4</v>
      </c>
      <c r="F153" s="361" t="s">
        <v>267</v>
      </c>
      <c r="G153" s="365">
        <v>14</v>
      </c>
      <c r="H153" s="362">
        <v>14</v>
      </c>
      <c r="I153" s="362">
        <v>0</v>
      </c>
      <c r="J153" s="363">
        <v>0</v>
      </c>
      <c r="K153" s="307"/>
      <c r="L153" s="308" t="s">
        <v>151</v>
      </c>
      <c r="M153" s="360">
        <v>72</v>
      </c>
      <c r="N153" s="396" t="str">
        <f>IF(ISBLANK(N151),"",CONCATENATE(LEFT(INDEX(N$65:N$91,MATCH(LEFT(N151,11)&amp;"*",N$65:N$91,0)+2),FIND("-",INDEX(N$65:N$91,MATCH(LEFT(N151,11)&amp;"*",N$65:N$91,0)+2))),$A151))</f>
        <v/>
      </c>
      <c r="O153" s="397"/>
      <c r="P153" s="398"/>
      <c r="Q153" s="304"/>
      <c r="R153" s="304"/>
      <c r="S153" s="305"/>
      <c r="T153" s="306"/>
      <c r="U153" s="306"/>
      <c r="V153" s="306"/>
      <c r="W153" s="307"/>
      <c r="X153" s="308"/>
      <c r="Y153" s="309"/>
    </row>
    <row r="154" spans="1:74" s="135" customFormat="1" ht="21" customHeight="1" thickTop="1" x14ac:dyDescent="0.2">
      <c r="A154" s="388" t="s">
        <v>34</v>
      </c>
      <c r="B154" s="446" t="s">
        <v>322</v>
      </c>
      <c r="C154" s="447"/>
      <c r="D154" s="447"/>
      <c r="E154" s="447"/>
      <c r="F154" s="447"/>
      <c r="G154" s="447"/>
      <c r="H154" s="447"/>
      <c r="I154" s="447"/>
      <c r="J154" s="447"/>
      <c r="K154" s="447"/>
      <c r="L154" s="447"/>
      <c r="M154" s="448"/>
      <c r="N154" s="410"/>
      <c r="O154" s="411"/>
      <c r="P154" s="411"/>
      <c r="Q154" s="411"/>
      <c r="R154" s="411"/>
      <c r="S154" s="411"/>
      <c r="T154" s="411"/>
      <c r="U154" s="411"/>
      <c r="V154" s="411"/>
      <c r="W154" s="411"/>
      <c r="X154" s="411"/>
      <c r="Y154" s="412"/>
    </row>
    <row r="155" spans="1:74" s="135" customFormat="1" ht="21" customHeight="1" x14ac:dyDescent="0.2">
      <c r="A155" s="388"/>
      <c r="B155" s="413"/>
      <c r="C155" s="414"/>
      <c r="D155" s="414"/>
      <c r="E155" s="414"/>
      <c r="F155" s="414"/>
      <c r="G155" s="414"/>
      <c r="H155" s="414"/>
      <c r="I155" s="414"/>
      <c r="J155" s="414"/>
      <c r="K155" s="414"/>
      <c r="L155" s="414"/>
      <c r="M155" s="415"/>
      <c r="N155" s="413"/>
      <c r="O155" s="414"/>
      <c r="P155" s="414"/>
      <c r="Q155" s="414"/>
      <c r="R155" s="414"/>
      <c r="S155" s="414"/>
      <c r="T155" s="414"/>
      <c r="U155" s="414"/>
      <c r="V155" s="414"/>
      <c r="W155" s="414"/>
      <c r="X155" s="414"/>
      <c r="Y155" s="415"/>
    </row>
    <row r="156" spans="1:74" s="135" customFormat="1" ht="21" customHeight="1" thickBot="1" x14ac:dyDescent="0.25">
      <c r="A156" s="389"/>
      <c r="B156" s="396" t="str">
        <f>IF(ISBLANK(B154),"",CONCATENATE(LEFT(INDEX(B$65:B$91,MATCH(LEFT(B154,11)&amp;"*",B$65:B$91,0)+2),FIND("-",INDEX(B$65:B$91,MATCH(LEFT(B154,11)&amp;"*",B$65:B$91,0)+2))),$A154))</f>
        <v>M60.22.03.S5-02</v>
      </c>
      <c r="C156" s="397"/>
      <c r="D156" s="398"/>
      <c r="E156" s="366">
        <v>4</v>
      </c>
      <c r="F156" s="361" t="s">
        <v>267</v>
      </c>
      <c r="G156" s="365">
        <v>14</v>
      </c>
      <c r="H156" s="362">
        <v>14</v>
      </c>
      <c r="I156" s="362">
        <v>0</v>
      </c>
      <c r="J156" s="363">
        <v>0</v>
      </c>
      <c r="K156" s="307"/>
      <c r="L156" s="308" t="s">
        <v>151</v>
      </c>
      <c r="M156" s="360">
        <v>72</v>
      </c>
      <c r="N156" s="396" t="str">
        <f>IF(ISBLANK(N154),"",CONCATENATE(LEFT(INDEX(N$65:N$91,MATCH(LEFT(N154,11)&amp;"*",N$65:N$91,0)+2),FIND("-",INDEX(N$65:N$91,MATCH(LEFT(N154,11)&amp;"*",N$65:N$91,0)+2))),$A154))</f>
        <v/>
      </c>
      <c r="O156" s="397"/>
      <c r="P156" s="398"/>
      <c r="Q156" s="304"/>
      <c r="R156" s="304"/>
      <c r="S156" s="305"/>
      <c r="T156" s="306"/>
      <c r="U156" s="306"/>
      <c r="V156" s="306"/>
      <c r="W156" s="307"/>
      <c r="X156" s="308"/>
      <c r="Y156" s="309"/>
    </row>
    <row r="157" spans="1:74" s="135" customFormat="1" ht="21" customHeight="1" thickTop="1" x14ac:dyDescent="0.2">
      <c r="A157" s="387" t="s">
        <v>35</v>
      </c>
      <c r="B157" s="410" t="s">
        <v>323</v>
      </c>
      <c r="C157" s="411"/>
      <c r="D157" s="411"/>
      <c r="E157" s="411"/>
      <c r="F157" s="411"/>
      <c r="G157" s="411"/>
      <c r="H157" s="411"/>
      <c r="I157" s="411"/>
      <c r="J157" s="411"/>
      <c r="K157" s="411"/>
      <c r="L157" s="411"/>
      <c r="M157" s="412"/>
      <c r="N157" s="410"/>
      <c r="O157" s="411"/>
      <c r="P157" s="411"/>
      <c r="Q157" s="411"/>
      <c r="R157" s="411"/>
      <c r="S157" s="411"/>
      <c r="T157" s="411"/>
      <c r="U157" s="411"/>
      <c r="V157" s="411"/>
      <c r="W157" s="411"/>
      <c r="X157" s="411"/>
      <c r="Y157" s="412"/>
    </row>
    <row r="158" spans="1:74" s="135" customFormat="1" ht="21" customHeight="1" x14ac:dyDescent="0.2">
      <c r="A158" s="388"/>
      <c r="B158" s="413"/>
      <c r="C158" s="414"/>
      <c r="D158" s="414"/>
      <c r="E158" s="414"/>
      <c r="F158" s="414"/>
      <c r="G158" s="414"/>
      <c r="H158" s="414"/>
      <c r="I158" s="414"/>
      <c r="J158" s="414"/>
      <c r="K158" s="414"/>
      <c r="L158" s="414"/>
      <c r="M158" s="415"/>
      <c r="N158" s="413"/>
      <c r="O158" s="414"/>
      <c r="P158" s="414"/>
      <c r="Q158" s="414"/>
      <c r="R158" s="414"/>
      <c r="S158" s="414"/>
      <c r="T158" s="414"/>
      <c r="U158" s="414"/>
      <c r="V158" s="414"/>
      <c r="W158" s="414"/>
      <c r="X158" s="414"/>
      <c r="Y158" s="415"/>
    </row>
    <row r="159" spans="1:74" s="135" customFormat="1" ht="21" customHeight="1" thickBot="1" x14ac:dyDescent="0.25">
      <c r="A159" s="389"/>
      <c r="B159" s="396" t="str">
        <f>IF(ISBLANK(B157),"",CONCATENATE(LEFT(INDEX(B$65:B$91,MATCH(LEFT(B157,11)&amp;"*",B$65:B$91,0)+2),FIND("-",INDEX(B$65:B$91,MATCH(LEFT(B157,11)&amp;"*",B$65:B$91,0)+2))),$A157))</f>
        <v>M60.22.03.S5-03</v>
      </c>
      <c r="C159" s="397"/>
      <c r="D159" s="398"/>
      <c r="E159" s="366">
        <v>4</v>
      </c>
      <c r="F159" s="361" t="s">
        <v>267</v>
      </c>
      <c r="G159" s="365">
        <v>14</v>
      </c>
      <c r="H159" s="362">
        <v>14</v>
      </c>
      <c r="I159" s="362">
        <v>0</v>
      </c>
      <c r="J159" s="363">
        <v>0</v>
      </c>
      <c r="K159" s="307"/>
      <c r="L159" s="308" t="s">
        <v>151</v>
      </c>
      <c r="M159" s="360">
        <v>72</v>
      </c>
      <c r="N159" s="396" t="str">
        <f>IF(ISBLANK(N157),"",CONCATENATE(LEFT(INDEX(N$65:N$91,MATCH(LEFT(N157,11)&amp;"*",N$65:N$91,0)+2),FIND("-",INDEX(N$65:N$91,MATCH(LEFT(N157,11)&amp;"*",N$65:N$91,0)+2))),$A157))</f>
        <v/>
      </c>
      <c r="O159" s="397"/>
      <c r="P159" s="398"/>
      <c r="Q159" s="304"/>
      <c r="R159" s="304"/>
      <c r="S159" s="305"/>
      <c r="T159" s="306"/>
      <c r="U159" s="306"/>
      <c r="V159" s="306"/>
      <c r="W159" s="307"/>
      <c r="X159" s="308"/>
      <c r="Y159" s="309"/>
    </row>
    <row r="160" spans="1:74" s="135" customFormat="1" ht="21" customHeight="1" thickTop="1" x14ac:dyDescent="0.2">
      <c r="A160" s="387" t="s">
        <v>36</v>
      </c>
      <c r="B160" s="410" t="s">
        <v>324</v>
      </c>
      <c r="C160" s="411"/>
      <c r="D160" s="411"/>
      <c r="E160" s="411"/>
      <c r="F160" s="411"/>
      <c r="G160" s="411"/>
      <c r="H160" s="411"/>
      <c r="I160" s="411"/>
      <c r="J160" s="411"/>
      <c r="K160" s="411"/>
      <c r="L160" s="411"/>
      <c r="M160" s="412"/>
      <c r="N160" s="410"/>
      <c r="O160" s="411"/>
      <c r="P160" s="411"/>
      <c r="Q160" s="411"/>
      <c r="R160" s="411"/>
      <c r="S160" s="411"/>
      <c r="T160" s="411"/>
      <c r="U160" s="411"/>
      <c r="V160" s="411"/>
      <c r="W160" s="411"/>
      <c r="X160" s="411"/>
      <c r="Y160" s="412"/>
    </row>
    <row r="161" spans="1:25" s="135" customFormat="1" ht="21" customHeight="1" x14ac:dyDescent="0.2">
      <c r="A161" s="388"/>
      <c r="B161" s="413"/>
      <c r="C161" s="414"/>
      <c r="D161" s="414"/>
      <c r="E161" s="414"/>
      <c r="F161" s="414"/>
      <c r="G161" s="414"/>
      <c r="H161" s="414"/>
      <c r="I161" s="414"/>
      <c r="J161" s="414"/>
      <c r="K161" s="414"/>
      <c r="L161" s="414"/>
      <c r="M161" s="415"/>
      <c r="N161" s="413"/>
      <c r="O161" s="414"/>
      <c r="P161" s="414"/>
      <c r="Q161" s="414"/>
      <c r="R161" s="414"/>
      <c r="S161" s="414"/>
      <c r="T161" s="414"/>
      <c r="U161" s="414"/>
      <c r="V161" s="414"/>
      <c r="W161" s="414"/>
      <c r="X161" s="414"/>
      <c r="Y161" s="415"/>
    </row>
    <row r="162" spans="1:25" s="135" customFormat="1" ht="21" customHeight="1" thickBot="1" x14ac:dyDescent="0.25">
      <c r="A162" s="389"/>
      <c r="B162" s="396" t="str">
        <f>IF(ISBLANK(B160),"",CONCATENATE(LEFT(INDEX(B$65:B$91,MATCH(LEFT(B160,11)&amp;"*",B$65:B$91,0)+2),FIND("-",INDEX(B$65:B$91,MATCH(LEFT(B160,11)&amp;"*",B$65:B$91,0)+2))),$A160))</f>
        <v>M60.22.03.S5-04</v>
      </c>
      <c r="C162" s="397"/>
      <c r="D162" s="398"/>
      <c r="E162" s="366">
        <v>4</v>
      </c>
      <c r="F162" s="361" t="s">
        <v>267</v>
      </c>
      <c r="G162" s="365">
        <v>14</v>
      </c>
      <c r="H162" s="362">
        <v>14</v>
      </c>
      <c r="I162" s="362">
        <v>0</v>
      </c>
      <c r="J162" s="363">
        <v>0</v>
      </c>
      <c r="K162" s="307"/>
      <c r="L162" s="308" t="s">
        <v>151</v>
      </c>
      <c r="M162" s="360">
        <v>72</v>
      </c>
      <c r="N162" s="396" t="str">
        <f>IF(ISBLANK(N160),"",CONCATENATE(LEFT(INDEX(N$65:N$91,MATCH(LEFT(N160,11)&amp;"*",N$65:N$91,0)+2),FIND("-",INDEX(N$65:N$91,MATCH(LEFT(N160,11)&amp;"*",N$65:N$91,0)+2))),$A160))</f>
        <v/>
      </c>
      <c r="O162" s="397"/>
      <c r="P162" s="398"/>
      <c r="Q162" s="304"/>
      <c r="R162" s="304"/>
      <c r="S162" s="305"/>
      <c r="T162" s="306"/>
      <c r="U162" s="306"/>
      <c r="V162" s="306"/>
      <c r="W162" s="307"/>
      <c r="X162" s="308"/>
      <c r="Y162" s="309"/>
    </row>
    <row r="163" spans="1:25" s="135" customFormat="1" ht="21" customHeight="1" thickTop="1" x14ac:dyDescent="0.2">
      <c r="A163" s="387" t="s">
        <v>38</v>
      </c>
      <c r="B163" s="410"/>
      <c r="C163" s="411"/>
      <c r="D163" s="411"/>
      <c r="E163" s="411"/>
      <c r="F163" s="411"/>
      <c r="G163" s="411"/>
      <c r="H163" s="411"/>
      <c r="I163" s="411"/>
      <c r="J163" s="411"/>
      <c r="K163" s="411"/>
      <c r="L163" s="411"/>
      <c r="M163" s="412"/>
      <c r="N163" s="410"/>
      <c r="O163" s="411"/>
      <c r="P163" s="411"/>
      <c r="Q163" s="411"/>
      <c r="R163" s="411"/>
      <c r="S163" s="411"/>
      <c r="T163" s="411"/>
      <c r="U163" s="411"/>
      <c r="V163" s="411"/>
      <c r="W163" s="411"/>
      <c r="X163" s="411"/>
      <c r="Y163" s="412"/>
    </row>
    <row r="164" spans="1:25" s="135" customFormat="1" ht="21" customHeight="1" x14ac:dyDescent="0.2">
      <c r="A164" s="388"/>
      <c r="B164" s="413"/>
      <c r="C164" s="414"/>
      <c r="D164" s="414"/>
      <c r="E164" s="414"/>
      <c r="F164" s="414"/>
      <c r="G164" s="414"/>
      <c r="H164" s="414"/>
      <c r="I164" s="414"/>
      <c r="J164" s="414"/>
      <c r="K164" s="414"/>
      <c r="L164" s="414"/>
      <c r="M164" s="415"/>
      <c r="N164" s="413"/>
      <c r="O164" s="414"/>
      <c r="P164" s="414"/>
      <c r="Q164" s="414"/>
      <c r="R164" s="414"/>
      <c r="S164" s="414"/>
      <c r="T164" s="414"/>
      <c r="U164" s="414"/>
      <c r="V164" s="414"/>
      <c r="W164" s="414"/>
      <c r="X164" s="414"/>
      <c r="Y164" s="415"/>
    </row>
    <row r="165" spans="1:25" s="135" customFormat="1" ht="21" customHeight="1" thickBot="1" x14ac:dyDescent="0.25">
      <c r="A165" s="389"/>
      <c r="B165" s="396" t="str">
        <f>IF(ISBLANK(B163),"",CONCATENATE(LEFT(INDEX(B$65:B$91,MATCH(LEFT(B163,11)&amp;"*",B$65:B$91,0)+2),FIND("-",INDEX(B$65:B$91,MATCH(LEFT(B163,11)&amp;"*",B$65:B$91,0)+2))),$A163))</f>
        <v/>
      </c>
      <c r="C165" s="397"/>
      <c r="D165" s="398"/>
      <c r="E165" s="304"/>
      <c r="F165" s="304"/>
      <c r="G165" s="305"/>
      <c r="H165" s="306"/>
      <c r="I165" s="306"/>
      <c r="J165" s="306"/>
      <c r="K165" s="307"/>
      <c r="L165" s="308"/>
      <c r="M165" s="309"/>
      <c r="N165" s="396" t="str">
        <f>IF(ISBLANK(N163),"",CONCATENATE(LEFT(INDEX(N$65:N$91,MATCH(LEFT(N163,11)&amp;"*",N$65:N$91,0)+2),FIND("-",INDEX(N$65:N$91,MATCH(LEFT(N163,11)&amp;"*",N$65:N$91,0)+2))),$A163))</f>
        <v/>
      </c>
      <c r="O165" s="397"/>
      <c r="P165" s="398"/>
      <c r="Q165" s="304"/>
      <c r="R165" s="304"/>
      <c r="S165" s="305"/>
      <c r="T165" s="306"/>
      <c r="U165" s="306"/>
      <c r="V165" s="306"/>
      <c r="W165" s="307"/>
      <c r="X165" s="308"/>
      <c r="Y165" s="309"/>
    </row>
    <row r="166" spans="1:25" s="135" customFormat="1" ht="21" customHeight="1" thickTop="1" x14ac:dyDescent="0.2">
      <c r="A166" s="387" t="s">
        <v>39</v>
      </c>
      <c r="B166" s="410"/>
      <c r="C166" s="411"/>
      <c r="D166" s="411"/>
      <c r="E166" s="411"/>
      <c r="F166" s="411"/>
      <c r="G166" s="411"/>
      <c r="H166" s="411"/>
      <c r="I166" s="411"/>
      <c r="J166" s="411"/>
      <c r="K166" s="411"/>
      <c r="L166" s="411"/>
      <c r="M166" s="412"/>
      <c r="N166" s="410"/>
      <c r="O166" s="411"/>
      <c r="P166" s="411"/>
      <c r="Q166" s="411"/>
      <c r="R166" s="411"/>
      <c r="S166" s="411"/>
      <c r="T166" s="411"/>
      <c r="U166" s="411"/>
      <c r="V166" s="411"/>
      <c r="W166" s="411"/>
      <c r="X166" s="411"/>
      <c r="Y166" s="412"/>
    </row>
    <row r="167" spans="1:25" s="135" customFormat="1" ht="21" customHeight="1" x14ac:dyDescent="0.2">
      <c r="A167" s="388"/>
      <c r="B167" s="413"/>
      <c r="C167" s="414"/>
      <c r="D167" s="414"/>
      <c r="E167" s="414"/>
      <c r="F167" s="414"/>
      <c r="G167" s="414"/>
      <c r="H167" s="414"/>
      <c r="I167" s="414"/>
      <c r="J167" s="414"/>
      <c r="K167" s="414"/>
      <c r="L167" s="414"/>
      <c r="M167" s="415"/>
      <c r="N167" s="413"/>
      <c r="O167" s="414"/>
      <c r="P167" s="414"/>
      <c r="Q167" s="414"/>
      <c r="R167" s="414"/>
      <c r="S167" s="414"/>
      <c r="T167" s="414"/>
      <c r="U167" s="414"/>
      <c r="V167" s="414"/>
      <c r="W167" s="414"/>
      <c r="X167" s="414"/>
      <c r="Y167" s="415"/>
    </row>
    <row r="168" spans="1:25" s="135" customFormat="1" ht="21" customHeight="1" thickBot="1" x14ac:dyDescent="0.25">
      <c r="A168" s="389"/>
      <c r="B168" s="396" t="str">
        <f>IF(ISBLANK(B166),"",CONCATENATE(LEFT(INDEX(B$65:B$91,MATCH(LEFT(B166,11)&amp;"*",B$65:B$91,0)+2),FIND("-",INDEX(B$65:B$91,MATCH(LEFT(B166,11)&amp;"*",B$65:B$91,0)+2))),$A166))</f>
        <v/>
      </c>
      <c r="C168" s="397"/>
      <c r="D168" s="398"/>
      <c r="E168" s="304"/>
      <c r="F168" s="304"/>
      <c r="G168" s="305"/>
      <c r="H168" s="306"/>
      <c r="I168" s="306"/>
      <c r="J168" s="306"/>
      <c r="K168" s="307"/>
      <c r="L168" s="308"/>
      <c r="M168" s="309"/>
      <c r="N168" s="396" t="str">
        <f>IF(ISBLANK(N166),"",CONCATENATE(LEFT(INDEX(N$65:N$91,MATCH(LEFT(N166,11)&amp;"*",N$65:N$91,0)+2),FIND("-",INDEX(N$65:N$91,MATCH(LEFT(N166,11)&amp;"*",N$65:N$91,0)+2))),$A166))</f>
        <v/>
      </c>
      <c r="O168" s="397"/>
      <c r="P168" s="398"/>
      <c r="Q168" s="304"/>
      <c r="R168" s="304"/>
      <c r="S168" s="305"/>
      <c r="T168" s="306"/>
      <c r="U168" s="306"/>
      <c r="V168" s="306"/>
      <c r="W168" s="307"/>
      <c r="X168" s="308"/>
      <c r="Y168" s="309"/>
    </row>
    <row r="169" spans="1:25" s="135" customFormat="1" ht="21" customHeight="1" thickTop="1" x14ac:dyDescent="0.2">
      <c r="A169" s="387" t="s">
        <v>213</v>
      </c>
      <c r="B169" s="410"/>
      <c r="C169" s="411"/>
      <c r="D169" s="411"/>
      <c r="E169" s="411"/>
      <c r="F169" s="411"/>
      <c r="G169" s="411"/>
      <c r="H169" s="411"/>
      <c r="I169" s="411"/>
      <c r="J169" s="411"/>
      <c r="K169" s="411"/>
      <c r="L169" s="411"/>
      <c r="M169" s="412"/>
      <c r="N169" s="410"/>
      <c r="O169" s="411"/>
      <c r="P169" s="411"/>
      <c r="Q169" s="411"/>
      <c r="R169" s="411"/>
      <c r="S169" s="411"/>
      <c r="T169" s="411"/>
      <c r="U169" s="411"/>
      <c r="V169" s="411"/>
      <c r="W169" s="411"/>
      <c r="X169" s="411"/>
      <c r="Y169" s="412"/>
    </row>
    <row r="170" spans="1:25" s="135" customFormat="1" ht="21" customHeight="1" x14ac:dyDescent="0.2">
      <c r="A170" s="388"/>
      <c r="B170" s="413"/>
      <c r="C170" s="414"/>
      <c r="D170" s="414"/>
      <c r="E170" s="414"/>
      <c r="F170" s="414"/>
      <c r="G170" s="414"/>
      <c r="H170" s="414"/>
      <c r="I170" s="414"/>
      <c r="J170" s="414"/>
      <c r="K170" s="414"/>
      <c r="L170" s="414"/>
      <c r="M170" s="415"/>
      <c r="N170" s="413"/>
      <c r="O170" s="414"/>
      <c r="P170" s="414"/>
      <c r="Q170" s="414"/>
      <c r="R170" s="414"/>
      <c r="S170" s="414"/>
      <c r="T170" s="414"/>
      <c r="U170" s="414"/>
      <c r="V170" s="414"/>
      <c r="W170" s="414"/>
      <c r="X170" s="414"/>
      <c r="Y170" s="415"/>
    </row>
    <row r="171" spans="1:25" s="135" customFormat="1" ht="21" customHeight="1" thickBot="1" x14ac:dyDescent="0.25">
      <c r="A171" s="389"/>
      <c r="B171" s="396" t="str">
        <f>IF(ISBLANK(B169),"",CONCATENATE(LEFT(INDEX(B$65:B$91,MATCH(LEFT(B169,11)&amp;"*",B$65:B$91,0)+2),FIND("-",INDEX(B$65:B$91,MATCH(LEFT(B169,11)&amp;"*",B$65:B$91,0)+2))),$A169))</f>
        <v/>
      </c>
      <c r="C171" s="397"/>
      <c r="D171" s="398"/>
      <c r="E171" s="304"/>
      <c r="F171" s="304"/>
      <c r="G171" s="305"/>
      <c r="H171" s="306"/>
      <c r="I171" s="306"/>
      <c r="J171" s="306"/>
      <c r="K171" s="307"/>
      <c r="L171" s="308"/>
      <c r="M171" s="309"/>
      <c r="N171" s="396" t="str">
        <f>IF(ISBLANK(N169),"",CONCATENATE(LEFT(INDEX(N$65:N$91,MATCH(LEFT(N169,11)&amp;"*",N$65:N$91,0)+2),FIND("-",INDEX(N$65:N$91,MATCH(LEFT(N169,11)&amp;"*",N$65:N$91,0)+2))),$A169))</f>
        <v/>
      </c>
      <c r="O171" s="397"/>
      <c r="P171" s="398"/>
      <c r="Q171" s="304"/>
      <c r="R171" s="304"/>
      <c r="S171" s="305"/>
      <c r="T171" s="306"/>
      <c r="U171" s="306"/>
      <c r="V171" s="306"/>
      <c r="W171" s="307"/>
      <c r="X171" s="308"/>
      <c r="Y171" s="309"/>
    </row>
    <row r="172" spans="1:25" s="135" customFormat="1" ht="21" customHeight="1" thickTop="1" x14ac:dyDescent="0.2">
      <c r="A172" s="387" t="s">
        <v>214</v>
      </c>
      <c r="B172" s="410"/>
      <c r="C172" s="411"/>
      <c r="D172" s="411"/>
      <c r="E172" s="411"/>
      <c r="F172" s="411"/>
      <c r="G172" s="411"/>
      <c r="H172" s="411"/>
      <c r="I172" s="411"/>
      <c r="J172" s="411"/>
      <c r="K172" s="411"/>
      <c r="L172" s="411"/>
      <c r="M172" s="412"/>
      <c r="N172" s="410"/>
      <c r="O172" s="411"/>
      <c r="P172" s="411"/>
      <c r="Q172" s="411"/>
      <c r="R172" s="411"/>
      <c r="S172" s="411"/>
      <c r="T172" s="411"/>
      <c r="U172" s="411"/>
      <c r="V172" s="411"/>
      <c r="W172" s="411"/>
      <c r="X172" s="411"/>
      <c r="Y172" s="412"/>
    </row>
    <row r="173" spans="1:25" s="135" customFormat="1" ht="21" customHeight="1" x14ac:dyDescent="0.2">
      <c r="A173" s="388"/>
      <c r="B173" s="413"/>
      <c r="C173" s="414"/>
      <c r="D173" s="414"/>
      <c r="E173" s="414"/>
      <c r="F173" s="414"/>
      <c r="G173" s="414"/>
      <c r="H173" s="414"/>
      <c r="I173" s="414"/>
      <c r="J173" s="414"/>
      <c r="K173" s="414"/>
      <c r="L173" s="414"/>
      <c r="M173" s="415"/>
      <c r="N173" s="413"/>
      <c r="O173" s="414"/>
      <c r="P173" s="414"/>
      <c r="Q173" s="414"/>
      <c r="R173" s="414"/>
      <c r="S173" s="414"/>
      <c r="T173" s="414"/>
      <c r="U173" s="414"/>
      <c r="V173" s="414"/>
      <c r="W173" s="414"/>
      <c r="X173" s="414"/>
      <c r="Y173" s="415"/>
    </row>
    <row r="174" spans="1:25" s="135" customFormat="1" ht="21" customHeight="1" thickBot="1" x14ac:dyDescent="0.25">
      <c r="A174" s="389"/>
      <c r="B174" s="396" t="str">
        <f>IF(ISBLANK(B172),"",CONCATENATE(LEFT(INDEX(B$65:B$91,MATCH(LEFT(B172,11)&amp;"*",B$65:B$91,0)+2),FIND("-",INDEX(B$65:B$91,MATCH(LEFT(B172,11)&amp;"*",B$65:B$91,0)+2))),$A172))</f>
        <v/>
      </c>
      <c r="C174" s="397"/>
      <c r="D174" s="398"/>
      <c r="E174" s="304"/>
      <c r="F174" s="304"/>
      <c r="G174" s="305"/>
      <c r="H174" s="306"/>
      <c r="I174" s="306"/>
      <c r="J174" s="306"/>
      <c r="K174" s="307"/>
      <c r="L174" s="308"/>
      <c r="M174" s="309"/>
      <c r="N174" s="396" t="str">
        <f>IF(ISBLANK(N172),"",CONCATENATE(LEFT(INDEX(N$65:N$91,MATCH(LEFT(N172,11)&amp;"*",N$65:N$91,0)+2),FIND("-",INDEX(N$65:N$91,MATCH(LEFT(N172,11)&amp;"*",N$65:N$91,0)+2))),$A172))</f>
        <v/>
      </c>
      <c r="O174" s="397"/>
      <c r="P174" s="398"/>
      <c r="Q174" s="304"/>
      <c r="R174" s="304"/>
      <c r="S174" s="305"/>
      <c r="T174" s="306"/>
      <c r="U174" s="306"/>
      <c r="V174" s="306"/>
      <c r="W174" s="307"/>
      <c r="X174" s="308"/>
      <c r="Y174" s="309"/>
    </row>
    <row r="175" spans="1:25" s="135" customFormat="1" ht="21" customHeight="1" thickTop="1" x14ac:dyDescent="0.2">
      <c r="A175" s="387" t="s">
        <v>225</v>
      </c>
      <c r="B175" s="410"/>
      <c r="C175" s="411"/>
      <c r="D175" s="411"/>
      <c r="E175" s="411"/>
      <c r="F175" s="411"/>
      <c r="G175" s="411"/>
      <c r="H175" s="411"/>
      <c r="I175" s="411"/>
      <c r="J175" s="411"/>
      <c r="K175" s="411"/>
      <c r="L175" s="411"/>
      <c r="M175" s="412"/>
      <c r="N175" s="410"/>
      <c r="O175" s="411"/>
      <c r="P175" s="411"/>
      <c r="Q175" s="411"/>
      <c r="R175" s="411"/>
      <c r="S175" s="411"/>
      <c r="T175" s="411"/>
      <c r="U175" s="411"/>
      <c r="V175" s="411"/>
      <c r="W175" s="411"/>
      <c r="X175" s="411"/>
      <c r="Y175" s="412"/>
    </row>
    <row r="176" spans="1:25" s="135" customFormat="1" ht="21" customHeight="1" x14ac:dyDescent="0.2">
      <c r="A176" s="388"/>
      <c r="B176" s="413"/>
      <c r="C176" s="414"/>
      <c r="D176" s="414"/>
      <c r="E176" s="414"/>
      <c r="F176" s="414"/>
      <c r="G176" s="414"/>
      <c r="H176" s="414"/>
      <c r="I176" s="414"/>
      <c r="J176" s="414"/>
      <c r="K176" s="414"/>
      <c r="L176" s="414"/>
      <c r="M176" s="415"/>
      <c r="N176" s="413"/>
      <c r="O176" s="414"/>
      <c r="P176" s="414"/>
      <c r="Q176" s="414"/>
      <c r="R176" s="414"/>
      <c r="S176" s="414"/>
      <c r="T176" s="414"/>
      <c r="U176" s="414"/>
      <c r="V176" s="414"/>
      <c r="W176" s="414"/>
      <c r="X176" s="414"/>
      <c r="Y176" s="415"/>
    </row>
    <row r="177" spans="1:25" s="135" customFormat="1" ht="21" customHeight="1" thickBot="1" x14ac:dyDescent="0.25">
      <c r="A177" s="389"/>
      <c r="B177" s="396" t="str">
        <f>IF(ISBLANK(B175),"",CONCATENATE(LEFT(INDEX(B$65:B$91,MATCH(LEFT(B175,11)&amp;"*",B$65:B$91,0)+2),FIND("-",INDEX(B$65:B$91,MATCH(LEFT(B175,11)&amp;"*",B$65:B$91,0)+2))),$A175))</f>
        <v/>
      </c>
      <c r="C177" s="397"/>
      <c r="D177" s="398"/>
      <c r="E177" s="304"/>
      <c r="F177" s="304"/>
      <c r="G177" s="305"/>
      <c r="H177" s="306"/>
      <c r="I177" s="306"/>
      <c r="J177" s="306"/>
      <c r="K177" s="307"/>
      <c r="L177" s="308"/>
      <c r="M177" s="309"/>
      <c r="N177" s="396" t="str">
        <f>IF(ISBLANK(N175),"",CONCATENATE(LEFT(INDEX(N$65:N$91,MATCH(LEFT(N175,11)&amp;"*",N$65:N$91,0)+2),FIND("-",INDEX(N$65:N$91,MATCH(LEFT(N175,11)&amp;"*",N$65:N$91,0)+2))),$A175))</f>
        <v/>
      </c>
      <c r="O177" s="397"/>
      <c r="P177" s="398"/>
      <c r="Q177" s="304"/>
      <c r="R177" s="304"/>
      <c r="S177" s="305"/>
      <c r="T177" s="306"/>
      <c r="U177" s="306"/>
      <c r="V177" s="306"/>
      <c r="W177" s="307"/>
      <c r="X177" s="308"/>
      <c r="Y177" s="309"/>
    </row>
    <row r="178" spans="1:25" s="135" customFormat="1" ht="21" customHeight="1" thickTop="1" x14ac:dyDescent="0.2">
      <c r="A178" s="387" t="s">
        <v>226</v>
      </c>
      <c r="B178" s="410"/>
      <c r="C178" s="411"/>
      <c r="D178" s="411"/>
      <c r="E178" s="411"/>
      <c r="F178" s="411"/>
      <c r="G178" s="411"/>
      <c r="H178" s="411"/>
      <c r="I178" s="411"/>
      <c r="J178" s="411"/>
      <c r="K178" s="411"/>
      <c r="L178" s="411"/>
      <c r="M178" s="412"/>
      <c r="N178" s="410"/>
      <c r="O178" s="411"/>
      <c r="P178" s="411"/>
      <c r="Q178" s="411"/>
      <c r="R178" s="411"/>
      <c r="S178" s="411"/>
      <c r="T178" s="411"/>
      <c r="U178" s="411"/>
      <c r="V178" s="411"/>
      <c r="W178" s="411"/>
      <c r="X178" s="411"/>
      <c r="Y178" s="412"/>
    </row>
    <row r="179" spans="1:25" s="135" customFormat="1" ht="21" customHeight="1" x14ac:dyDescent="0.2">
      <c r="A179" s="388"/>
      <c r="B179" s="413"/>
      <c r="C179" s="414"/>
      <c r="D179" s="414"/>
      <c r="E179" s="414"/>
      <c r="F179" s="414"/>
      <c r="G179" s="414"/>
      <c r="H179" s="414"/>
      <c r="I179" s="414"/>
      <c r="J179" s="414"/>
      <c r="K179" s="414"/>
      <c r="L179" s="414"/>
      <c r="M179" s="415"/>
      <c r="N179" s="413"/>
      <c r="O179" s="414"/>
      <c r="P179" s="414"/>
      <c r="Q179" s="414"/>
      <c r="R179" s="414"/>
      <c r="S179" s="414"/>
      <c r="T179" s="414"/>
      <c r="U179" s="414"/>
      <c r="V179" s="414"/>
      <c r="W179" s="414"/>
      <c r="X179" s="414"/>
      <c r="Y179" s="415"/>
    </row>
    <row r="180" spans="1:25" s="135" customFormat="1" ht="21" customHeight="1" thickBot="1" x14ac:dyDescent="0.25">
      <c r="A180" s="389"/>
      <c r="B180" s="396" t="str">
        <f>IF(ISBLANK(B178),"",CONCATENATE(LEFT(INDEX(B$65:B$91,MATCH(LEFT(B178,11)&amp;"*",B$65:B$91,0)+2),FIND("-",INDEX(B$65:B$91,MATCH(LEFT(B178,11)&amp;"*",B$65:B$91,0)+2))),$A178))</f>
        <v/>
      </c>
      <c r="C180" s="397"/>
      <c r="D180" s="398"/>
      <c r="E180" s="304"/>
      <c r="F180" s="304"/>
      <c r="G180" s="305"/>
      <c r="H180" s="306"/>
      <c r="I180" s="306"/>
      <c r="J180" s="306"/>
      <c r="K180" s="307"/>
      <c r="L180" s="308"/>
      <c r="M180" s="309"/>
      <c r="N180" s="396" t="str">
        <f>IF(ISBLANK(N178),"",CONCATENATE(LEFT(INDEX(N$65:N$91,MATCH(LEFT(N178,11)&amp;"*",N$65:N$91,0)+2),FIND("-",INDEX(N$65:N$91,MATCH(LEFT(N178,11)&amp;"*",N$65:N$91,0)+2))),$A178))</f>
        <v/>
      </c>
      <c r="O180" s="397"/>
      <c r="P180" s="398"/>
      <c r="Q180" s="304"/>
      <c r="R180" s="304"/>
      <c r="S180" s="305"/>
      <c r="T180" s="306"/>
      <c r="U180" s="306"/>
      <c r="V180" s="306"/>
      <c r="W180" s="307"/>
      <c r="X180" s="308"/>
      <c r="Y180" s="309"/>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399" t="s">
        <v>327</v>
      </c>
      <c r="B182" s="399"/>
      <c r="C182" s="399"/>
      <c r="D182" s="399"/>
      <c r="E182" s="399"/>
      <c r="F182" s="399"/>
      <c r="G182" s="399"/>
      <c r="H182" s="399"/>
      <c r="I182" s="399"/>
      <c r="J182" s="399"/>
      <c r="K182" s="399"/>
      <c r="L182" s="399"/>
      <c r="M182" s="399"/>
      <c r="N182" s="399"/>
      <c r="O182" s="399"/>
      <c r="P182" s="399"/>
      <c r="Q182" s="399"/>
      <c r="R182" s="399"/>
      <c r="S182" s="399"/>
      <c r="T182" s="399"/>
      <c r="U182" s="399"/>
      <c r="V182" s="399"/>
      <c r="W182" s="399"/>
      <c r="X182" s="399"/>
      <c r="Y182" s="399"/>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466" t="s">
        <v>10</v>
      </c>
      <c r="B185" s="467"/>
      <c r="C185" s="467"/>
      <c r="D185" s="467"/>
      <c r="E185" s="467"/>
      <c r="F185" s="467"/>
      <c r="G185" s="467"/>
      <c r="H185" s="467"/>
      <c r="I185" s="467"/>
      <c r="J185" s="467"/>
      <c r="K185" s="467"/>
      <c r="L185" s="468"/>
      <c r="M185" s="153"/>
      <c r="N185" s="463" t="s">
        <v>22</v>
      </c>
      <c r="O185" s="464"/>
      <c r="P185" s="464"/>
      <c r="Q185" s="464"/>
      <c r="R185" s="464"/>
      <c r="S185" s="464"/>
      <c r="T185" s="464"/>
      <c r="U185" s="464"/>
      <c r="V185" s="464"/>
      <c r="W185" s="464"/>
      <c r="X185" s="464"/>
      <c r="Y185" s="465"/>
    </row>
    <row r="186" spans="1:25" s="154" customFormat="1" ht="21" customHeight="1" thickTop="1" thickBot="1" x14ac:dyDescent="0.25">
      <c r="A186" s="469"/>
      <c r="B186" s="470"/>
      <c r="C186" s="470"/>
      <c r="D186" s="470"/>
      <c r="E186" s="470"/>
      <c r="F186" s="470"/>
      <c r="G186" s="470"/>
      <c r="H186" s="470"/>
      <c r="I186" s="470"/>
      <c r="J186" s="470"/>
      <c r="K186" s="470"/>
      <c r="L186" s="471"/>
      <c r="M186" s="155"/>
      <c r="N186" s="463" t="s">
        <v>43</v>
      </c>
      <c r="O186" s="464"/>
      <c r="P186" s="464"/>
      <c r="Q186" s="464"/>
      <c r="R186" s="464"/>
      <c r="S186" s="464"/>
      <c r="T186" s="464"/>
      <c r="U186" s="464"/>
      <c r="V186" s="464"/>
      <c r="W186" s="464"/>
      <c r="X186" s="464"/>
      <c r="Y186" s="465"/>
    </row>
    <row r="187" spans="1:25" s="154" customFormat="1" ht="21" customHeight="1" thickTop="1" thickBot="1" x14ac:dyDescent="0.25">
      <c r="A187" s="472" t="s">
        <v>11</v>
      </c>
      <c r="B187" s="473"/>
      <c r="C187" s="474"/>
      <c r="D187" s="156" t="s">
        <v>12</v>
      </c>
      <c r="E187" s="157" t="s">
        <v>13</v>
      </c>
      <c r="F187" s="157" t="s">
        <v>14</v>
      </c>
      <c r="G187" s="157" t="s">
        <v>15</v>
      </c>
      <c r="H187" s="157" t="s">
        <v>16</v>
      </c>
      <c r="I187" s="157" t="s">
        <v>17</v>
      </c>
      <c r="J187" s="158" t="s">
        <v>74</v>
      </c>
      <c r="K187" s="158" t="s">
        <v>18</v>
      </c>
      <c r="L187" s="159" t="s">
        <v>19</v>
      </c>
      <c r="M187" s="160"/>
      <c r="N187" s="494" t="s">
        <v>77</v>
      </c>
      <c r="O187" s="495"/>
      <c r="P187" s="496"/>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62" t="s">
        <v>64</v>
      </c>
      <c r="P189" s="462"/>
      <c r="Q189" s="462"/>
      <c r="R189" s="462"/>
      <c r="S189" s="462"/>
      <c r="T189" s="462"/>
      <c r="U189" s="462"/>
      <c r="V189" s="462"/>
      <c r="W189" s="462"/>
      <c r="X189" s="462"/>
      <c r="Y189" s="493"/>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43"/>
      <c r="I191" s="343"/>
      <c r="J191" s="343"/>
      <c r="K191" s="343"/>
      <c r="L191" s="175"/>
      <c r="M191" s="343"/>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62" t="s">
        <v>80</v>
      </c>
      <c r="D192" s="462"/>
      <c r="E192" s="462"/>
      <c r="F192" s="462"/>
      <c r="G192" s="462"/>
      <c r="H192" s="176"/>
      <c r="I192" s="176"/>
      <c r="J192" s="176"/>
      <c r="K192" s="176"/>
      <c r="L192" s="177"/>
      <c r="M192" s="342"/>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61" t="s">
        <v>65</v>
      </c>
      <c r="E193" s="461"/>
      <c r="F193" s="461"/>
      <c r="G193" s="461"/>
      <c r="H193" s="461"/>
      <c r="I193" s="461"/>
      <c r="J193" s="461"/>
      <c r="K193" s="461"/>
      <c r="L193" s="461"/>
      <c r="M193" s="342"/>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43"/>
      <c r="H194" s="343"/>
      <c r="I194" s="343"/>
      <c r="J194" s="343"/>
      <c r="K194" s="343"/>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62" t="s">
        <v>81</v>
      </c>
      <c r="E195" s="462"/>
      <c r="F195" s="462"/>
      <c r="G195" s="155"/>
      <c r="H195" s="155"/>
      <c r="I195" s="155"/>
      <c r="J195" s="155"/>
      <c r="K195" s="155"/>
      <c r="L195" s="177"/>
      <c r="M195" s="176"/>
      <c r="N195" s="183"/>
      <c r="O195" s="462" t="s">
        <v>227</v>
      </c>
      <c r="P195" s="462"/>
      <c r="Q195" s="462"/>
      <c r="R195" s="462"/>
      <c r="S195" s="462"/>
      <c r="T195" s="462"/>
      <c r="U195" s="462"/>
      <c r="V195" s="462"/>
      <c r="W195" s="462"/>
      <c r="X195" s="462"/>
      <c r="Y195" s="493"/>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62"/>
      <c r="P196" s="462"/>
      <c r="Q196" s="462"/>
      <c r="R196" s="462"/>
      <c r="S196" s="462"/>
      <c r="T196" s="462"/>
      <c r="U196" s="462"/>
      <c r="V196" s="462"/>
      <c r="W196" s="462"/>
      <c r="X196" s="462"/>
      <c r="Y196" s="493"/>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61" t="s">
        <v>78</v>
      </c>
      <c r="P197" s="461"/>
      <c r="Q197" s="461"/>
      <c r="R197" s="461"/>
      <c r="S197" s="461"/>
      <c r="T197" s="461"/>
      <c r="U197" s="461"/>
      <c r="V197" s="461"/>
      <c r="W197" s="461"/>
      <c r="X197" s="461"/>
      <c r="Y197" s="505"/>
    </row>
    <row r="198" spans="1:25" s="154" customFormat="1" ht="21" customHeight="1" x14ac:dyDescent="0.2">
      <c r="A198" s="171"/>
      <c r="B198" s="461" t="s">
        <v>72</v>
      </c>
      <c r="C198" s="461"/>
      <c r="D198" s="461"/>
      <c r="E198" s="461"/>
      <c r="F198" s="168"/>
      <c r="G198" s="176"/>
      <c r="H198" s="176"/>
      <c r="I198" s="176"/>
      <c r="J198" s="176"/>
      <c r="K198" s="176"/>
      <c r="L198" s="177"/>
      <c r="M198" s="176"/>
      <c r="N198" s="183"/>
      <c r="O198" s="503" t="s">
        <v>228</v>
      </c>
      <c r="P198" s="503"/>
      <c r="Q198" s="503"/>
      <c r="R198" s="503"/>
      <c r="S198" s="503"/>
      <c r="T198" s="503"/>
      <c r="U198" s="503"/>
      <c r="V198" s="503"/>
      <c r="W198" s="503"/>
      <c r="X198" s="503"/>
      <c r="Y198" s="504"/>
    </row>
    <row r="199" spans="1:25" s="154" customFormat="1" ht="21" customHeight="1" x14ac:dyDescent="0.2">
      <c r="A199" s="171"/>
      <c r="B199" s="182" t="s">
        <v>73</v>
      </c>
      <c r="C199" s="153"/>
      <c r="D199" s="153"/>
      <c r="E199" s="153"/>
      <c r="F199" s="168"/>
      <c r="G199" s="176"/>
      <c r="H199" s="176"/>
      <c r="I199" s="176"/>
      <c r="J199" s="176"/>
      <c r="K199" s="176"/>
      <c r="L199" s="177"/>
      <c r="M199" s="176"/>
      <c r="N199" s="185"/>
      <c r="O199" s="503"/>
      <c r="P199" s="503"/>
      <c r="Q199" s="503"/>
      <c r="R199" s="503"/>
      <c r="S199" s="503"/>
      <c r="T199" s="503"/>
      <c r="U199" s="503"/>
      <c r="V199" s="503"/>
      <c r="W199" s="503"/>
      <c r="X199" s="503"/>
      <c r="Y199" s="504"/>
    </row>
    <row r="200" spans="1:25" s="154" customFormat="1" ht="21" customHeight="1" x14ac:dyDescent="0.2">
      <c r="A200" s="171"/>
      <c r="B200" s="461" t="s">
        <v>60</v>
      </c>
      <c r="C200" s="461"/>
      <c r="D200" s="461"/>
      <c r="E200" s="461"/>
      <c r="F200" s="461"/>
      <c r="G200" s="461"/>
      <c r="H200" s="461"/>
      <c r="I200" s="461"/>
      <c r="J200" s="461"/>
      <c r="K200" s="176"/>
      <c r="L200" s="177"/>
      <c r="M200" s="176"/>
      <c r="N200" s="185"/>
      <c r="O200" s="462" t="s">
        <v>79</v>
      </c>
      <c r="P200" s="462"/>
      <c r="Q200" s="462"/>
      <c r="R200" s="462"/>
      <c r="S200" s="462"/>
      <c r="T200" s="462"/>
      <c r="U200" s="462"/>
      <c r="V200" s="462"/>
      <c r="W200" s="462"/>
      <c r="X200" s="462"/>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7"/>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Conf.univ.dr.arh. Cristian-Tiberiu BLIDARIU</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03" t="s">
        <v>273</v>
      </c>
      <c r="B212" s="403"/>
      <c r="C212" s="403"/>
      <c r="D212" s="403"/>
      <c r="E212" s="403"/>
      <c r="F212" s="403"/>
      <c r="G212" s="403"/>
      <c r="H212" s="403"/>
      <c r="I212" s="403"/>
      <c r="J212" s="403"/>
      <c r="K212" s="403"/>
      <c r="L212" s="403"/>
      <c r="M212" s="403"/>
      <c r="N212" s="403"/>
      <c r="O212" s="403"/>
      <c r="P212" s="403"/>
      <c r="Q212" s="403"/>
      <c r="R212" s="403"/>
      <c r="S212" s="403"/>
      <c r="T212" s="403"/>
      <c r="U212" s="403"/>
      <c r="V212" s="403"/>
      <c r="W212" s="403"/>
      <c r="X212" s="403"/>
      <c r="Y212" s="403"/>
    </row>
    <row r="213" spans="1:25" ht="18" x14ac:dyDescent="0.2">
      <c r="A213" s="404" t="str">
        <f>A20</f>
        <v>Pentru seria de studenti 2022-2024</v>
      </c>
      <c r="B213" s="404"/>
      <c r="C213" s="404"/>
      <c r="D213" s="404"/>
      <c r="E213" s="404"/>
      <c r="F213" s="404"/>
      <c r="G213" s="404"/>
      <c r="H213" s="404"/>
      <c r="I213" s="404"/>
      <c r="J213" s="404"/>
      <c r="K213" s="404"/>
      <c r="L213" s="404"/>
      <c r="M213" s="404"/>
      <c r="N213" s="404"/>
      <c r="O213" s="404"/>
      <c r="P213" s="404"/>
      <c r="Q213" s="404"/>
      <c r="R213" s="404"/>
      <c r="S213" s="404"/>
      <c r="T213" s="404"/>
      <c r="U213" s="404"/>
      <c r="V213" s="404"/>
      <c r="W213" s="404"/>
      <c r="X213" s="404"/>
      <c r="Y213" s="404"/>
    </row>
    <row r="214" spans="1:25" ht="15.75" thickBot="1" x14ac:dyDescent="0.3">
      <c r="A214" s="405" t="str">
        <f>A21</f>
        <v>ANUL I (2022-2023)</v>
      </c>
      <c r="B214" s="405"/>
      <c r="C214" s="405"/>
      <c r="D214" s="405"/>
      <c r="E214" s="405"/>
      <c r="F214" s="405"/>
      <c r="G214" s="405"/>
      <c r="H214" s="405"/>
      <c r="I214" s="405"/>
      <c r="J214" s="405"/>
      <c r="K214" s="405"/>
      <c r="L214" s="405"/>
      <c r="M214" s="405"/>
      <c r="N214" s="405"/>
      <c r="O214" s="405"/>
      <c r="P214" s="405"/>
      <c r="Q214" s="405"/>
      <c r="R214" s="405"/>
      <c r="S214" s="405"/>
      <c r="T214" s="405"/>
      <c r="U214" s="405"/>
      <c r="V214" s="405"/>
      <c r="W214" s="405"/>
      <c r="X214" s="405"/>
      <c r="Y214" s="405"/>
    </row>
    <row r="215" spans="1:25" ht="14.25" customHeight="1" thickTop="1" thickBot="1" x14ac:dyDescent="0.25">
      <c r="A215" s="99"/>
      <c r="B215" s="406" t="s">
        <v>0</v>
      </c>
      <c r="C215" s="407"/>
      <c r="D215" s="407"/>
      <c r="E215" s="407"/>
      <c r="F215" s="407"/>
      <c r="G215" s="407"/>
      <c r="H215" s="407"/>
      <c r="I215" s="407"/>
      <c r="J215" s="407"/>
      <c r="K215" s="407"/>
      <c r="L215" s="407"/>
      <c r="M215" s="408"/>
      <c r="N215" s="407" t="s">
        <v>1</v>
      </c>
      <c r="O215" s="407"/>
      <c r="P215" s="407"/>
      <c r="Q215" s="407"/>
      <c r="R215" s="407"/>
      <c r="S215" s="407"/>
      <c r="T215" s="407"/>
      <c r="U215" s="407"/>
      <c r="V215" s="407"/>
      <c r="W215" s="407"/>
      <c r="X215" s="407"/>
      <c r="Y215" s="408"/>
    </row>
    <row r="216" spans="1:25" thickTop="1" x14ac:dyDescent="0.2">
      <c r="A216" s="388" t="s">
        <v>33</v>
      </c>
      <c r="B216" s="390"/>
      <c r="C216" s="391"/>
      <c r="D216" s="391"/>
      <c r="E216" s="391"/>
      <c r="F216" s="391"/>
      <c r="G216" s="391"/>
      <c r="H216" s="391"/>
      <c r="I216" s="391"/>
      <c r="J216" s="391"/>
      <c r="K216" s="391"/>
      <c r="L216" s="391"/>
      <c r="M216" s="392"/>
      <c r="N216" s="390"/>
      <c r="O216" s="391"/>
      <c r="P216" s="391"/>
      <c r="Q216" s="391"/>
      <c r="R216" s="391"/>
      <c r="S216" s="391"/>
      <c r="T216" s="391"/>
      <c r="U216" s="391"/>
      <c r="V216" s="391"/>
      <c r="W216" s="391"/>
      <c r="X216" s="391"/>
      <c r="Y216" s="392"/>
    </row>
    <row r="217" spans="1:25" ht="14.25" x14ac:dyDescent="0.2">
      <c r="A217" s="388"/>
      <c r="B217" s="393"/>
      <c r="C217" s="394"/>
      <c r="D217" s="394"/>
      <c r="E217" s="394"/>
      <c r="F217" s="394"/>
      <c r="G217" s="394"/>
      <c r="H217" s="394"/>
      <c r="I217" s="394"/>
      <c r="J217" s="394"/>
      <c r="K217" s="394"/>
      <c r="L217" s="394"/>
      <c r="M217" s="395"/>
      <c r="N217" s="393"/>
      <c r="O217" s="394"/>
      <c r="P217" s="394"/>
      <c r="Q217" s="394"/>
      <c r="R217" s="394"/>
      <c r="S217" s="394"/>
      <c r="T217" s="394"/>
      <c r="U217" s="394"/>
      <c r="V217" s="394"/>
      <c r="W217" s="394"/>
      <c r="X217" s="394"/>
      <c r="Y217" s="395"/>
    </row>
    <row r="218" spans="1:25" ht="15.75" thickBot="1" x14ac:dyDescent="0.25">
      <c r="A218" s="389"/>
      <c r="B218" s="396" t="str">
        <f>IF(ISBLANK(B216),"",CONCATENATE($E$17,$F$17,".",$G$17,".","0",RIGHT($B$215,1),".",RIGHT(L218,1),$A$50,"-",A216))</f>
        <v/>
      </c>
      <c r="C218" s="397"/>
      <c r="D218" s="398"/>
      <c r="E218" s="350"/>
      <c r="F218" s="350"/>
      <c r="G218" s="351"/>
      <c r="H218" s="352"/>
      <c r="I218" s="352"/>
      <c r="J218" s="352"/>
      <c r="K218" s="353"/>
      <c r="L218" s="345"/>
      <c r="M218" s="349"/>
      <c r="N218" s="396" t="str">
        <f>IF(ISBLANK(N216),"",CONCATENATE($E$17,$F$17,".",$G$17,".","0",RIGHT($N$215,1),".",RIGHT(X218,1),$A$50,"-",A216))</f>
        <v/>
      </c>
      <c r="O218" s="397"/>
      <c r="P218" s="398"/>
      <c r="Q218" s="350"/>
      <c r="R218" s="350"/>
      <c r="S218" s="351"/>
      <c r="T218" s="352"/>
      <c r="U218" s="352"/>
      <c r="V218" s="352"/>
      <c r="W218" s="353"/>
      <c r="X218" s="345"/>
      <c r="Y218" s="349"/>
    </row>
    <row r="219" spans="1:25" thickTop="1" x14ac:dyDescent="0.2">
      <c r="A219" s="388" t="s">
        <v>34</v>
      </c>
      <c r="B219" s="400"/>
      <c r="C219" s="401"/>
      <c r="D219" s="401"/>
      <c r="E219" s="401"/>
      <c r="F219" s="401"/>
      <c r="G219" s="401"/>
      <c r="H219" s="401"/>
      <c r="I219" s="401"/>
      <c r="J219" s="401"/>
      <c r="K219" s="401"/>
      <c r="L219" s="401"/>
      <c r="M219" s="402"/>
      <c r="N219" s="390"/>
      <c r="O219" s="391"/>
      <c r="P219" s="391"/>
      <c r="Q219" s="391"/>
      <c r="R219" s="391"/>
      <c r="S219" s="391"/>
      <c r="T219" s="391"/>
      <c r="U219" s="391"/>
      <c r="V219" s="391"/>
      <c r="W219" s="391"/>
      <c r="X219" s="391"/>
      <c r="Y219" s="392"/>
    </row>
    <row r="220" spans="1:25" ht="14.25" x14ac:dyDescent="0.2">
      <c r="A220" s="388"/>
      <c r="B220" s="393"/>
      <c r="C220" s="394"/>
      <c r="D220" s="394"/>
      <c r="E220" s="394"/>
      <c r="F220" s="394"/>
      <c r="G220" s="394"/>
      <c r="H220" s="394"/>
      <c r="I220" s="394"/>
      <c r="J220" s="394"/>
      <c r="K220" s="394"/>
      <c r="L220" s="394"/>
      <c r="M220" s="395"/>
      <c r="N220" s="393"/>
      <c r="O220" s="394"/>
      <c r="P220" s="394"/>
      <c r="Q220" s="394"/>
      <c r="R220" s="394"/>
      <c r="S220" s="394"/>
      <c r="T220" s="394"/>
      <c r="U220" s="394"/>
      <c r="V220" s="394"/>
      <c r="W220" s="394"/>
      <c r="X220" s="394"/>
      <c r="Y220" s="395"/>
    </row>
    <row r="221" spans="1:25" ht="15.75" thickBot="1" x14ac:dyDescent="0.25">
      <c r="A221" s="389"/>
      <c r="B221" s="396" t="str">
        <f>IF(ISBLANK(B219),"",CONCATENATE($E$17,$F$17,".",$G$17,".","0",RIGHT($B$215,1),".",RIGHT(L221,1),$A$50,"-",A219))</f>
        <v/>
      </c>
      <c r="C221" s="397"/>
      <c r="D221" s="398"/>
      <c r="E221" s="350"/>
      <c r="F221" s="350"/>
      <c r="G221" s="351"/>
      <c r="H221" s="352"/>
      <c r="I221" s="352"/>
      <c r="J221" s="352"/>
      <c r="K221" s="353"/>
      <c r="L221" s="345"/>
      <c r="M221" s="349"/>
      <c r="N221" s="396" t="str">
        <f>IF(ISBLANK(N219),"",CONCATENATE($E$17,$F$17,".",$G$17,".","0",RIGHT($N$215,1),".",RIGHT(X221,1),$A$50,"-",A219))</f>
        <v/>
      </c>
      <c r="O221" s="397"/>
      <c r="P221" s="398"/>
      <c r="Q221" s="350"/>
      <c r="R221" s="350"/>
      <c r="S221" s="351"/>
      <c r="T221" s="352"/>
      <c r="U221" s="352"/>
      <c r="V221" s="352"/>
      <c r="W221" s="353"/>
      <c r="X221" s="345"/>
      <c r="Y221" s="349"/>
    </row>
    <row r="222" spans="1:25" thickTop="1" x14ac:dyDescent="0.2">
      <c r="A222" s="387" t="s">
        <v>35</v>
      </c>
      <c r="B222" s="390"/>
      <c r="C222" s="391"/>
      <c r="D222" s="391"/>
      <c r="E222" s="391"/>
      <c r="F222" s="391"/>
      <c r="G222" s="391"/>
      <c r="H222" s="391"/>
      <c r="I222" s="391"/>
      <c r="J222" s="391"/>
      <c r="K222" s="391"/>
      <c r="L222" s="391"/>
      <c r="M222" s="392"/>
      <c r="N222" s="390"/>
      <c r="O222" s="391"/>
      <c r="P222" s="391"/>
      <c r="Q222" s="391"/>
      <c r="R222" s="391"/>
      <c r="S222" s="391"/>
      <c r="T222" s="391"/>
      <c r="U222" s="391"/>
      <c r="V222" s="391"/>
      <c r="W222" s="391"/>
      <c r="X222" s="391"/>
      <c r="Y222" s="392"/>
    </row>
    <row r="223" spans="1:25" ht="14.25" x14ac:dyDescent="0.2">
      <c r="A223" s="388"/>
      <c r="B223" s="393"/>
      <c r="C223" s="394"/>
      <c r="D223" s="394"/>
      <c r="E223" s="394"/>
      <c r="F223" s="394"/>
      <c r="G223" s="394"/>
      <c r="H223" s="394"/>
      <c r="I223" s="394"/>
      <c r="J223" s="394"/>
      <c r="K223" s="394"/>
      <c r="L223" s="394"/>
      <c r="M223" s="395"/>
      <c r="N223" s="393"/>
      <c r="O223" s="394"/>
      <c r="P223" s="394"/>
      <c r="Q223" s="394"/>
      <c r="R223" s="394"/>
      <c r="S223" s="394"/>
      <c r="T223" s="394"/>
      <c r="U223" s="394"/>
      <c r="V223" s="394"/>
      <c r="W223" s="394"/>
      <c r="X223" s="394"/>
      <c r="Y223" s="395"/>
    </row>
    <row r="224" spans="1:25" ht="15.75" thickBot="1" x14ac:dyDescent="0.25">
      <c r="A224" s="389"/>
      <c r="B224" s="396" t="str">
        <f>IF(ISBLANK(B222),"",CONCATENATE($E$17,$F$17,".",$G$17,".","0",RIGHT($B$215,1),".",RIGHT(L224,1),$A$50,"-",A222))</f>
        <v/>
      </c>
      <c r="C224" s="397"/>
      <c r="D224" s="398"/>
      <c r="E224" s="350"/>
      <c r="F224" s="350"/>
      <c r="G224" s="351"/>
      <c r="H224" s="352"/>
      <c r="I224" s="352"/>
      <c r="J224" s="352"/>
      <c r="K224" s="353"/>
      <c r="L224" s="345"/>
      <c r="M224" s="349"/>
      <c r="N224" s="396" t="str">
        <f>IF(ISBLANK(N222),"",CONCATENATE($E$17,$F$17,".",$G$17,".","0",RIGHT($N$215,1),".",RIGHT(X224,1),$A$50,"-",A222))</f>
        <v/>
      </c>
      <c r="O224" s="397"/>
      <c r="P224" s="398"/>
      <c r="Q224" s="350"/>
      <c r="R224" s="350"/>
      <c r="S224" s="351"/>
      <c r="T224" s="352"/>
      <c r="U224" s="352"/>
      <c r="V224" s="352"/>
      <c r="W224" s="353"/>
      <c r="X224" s="345"/>
      <c r="Y224" s="349"/>
    </row>
    <row r="225" spans="1:25" thickTop="1" x14ac:dyDescent="0.2">
      <c r="A225" s="387" t="s">
        <v>36</v>
      </c>
      <c r="B225" s="390"/>
      <c r="C225" s="391"/>
      <c r="D225" s="391"/>
      <c r="E225" s="391"/>
      <c r="F225" s="391"/>
      <c r="G225" s="391"/>
      <c r="H225" s="391"/>
      <c r="I225" s="391"/>
      <c r="J225" s="391"/>
      <c r="K225" s="391"/>
      <c r="L225" s="391"/>
      <c r="M225" s="392"/>
      <c r="N225" s="390"/>
      <c r="O225" s="391"/>
      <c r="P225" s="391"/>
      <c r="Q225" s="391"/>
      <c r="R225" s="391"/>
      <c r="S225" s="391"/>
      <c r="T225" s="391"/>
      <c r="U225" s="391"/>
      <c r="V225" s="391"/>
      <c r="W225" s="391"/>
      <c r="X225" s="391"/>
      <c r="Y225" s="392"/>
    </row>
    <row r="226" spans="1:25" ht="14.25" x14ac:dyDescent="0.2">
      <c r="A226" s="388"/>
      <c r="B226" s="393"/>
      <c r="C226" s="394"/>
      <c r="D226" s="394"/>
      <c r="E226" s="394"/>
      <c r="F226" s="394"/>
      <c r="G226" s="394"/>
      <c r="H226" s="394"/>
      <c r="I226" s="394"/>
      <c r="J226" s="394"/>
      <c r="K226" s="394"/>
      <c r="L226" s="394"/>
      <c r="M226" s="395"/>
      <c r="N226" s="393"/>
      <c r="O226" s="394"/>
      <c r="P226" s="394"/>
      <c r="Q226" s="394"/>
      <c r="R226" s="394"/>
      <c r="S226" s="394"/>
      <c r="T226" s="394"/>
      <c r="U226" s="394"/>
      <c r="V226" s="394"/>
      <c r="W226" s="394"/>
      <c r="X226" s="394"/>
      <c r="Y226" s="395"/>
    </row>
    <row r="227" spans="1:25" ht="15.75" thickBot="1" x14ac:dyDescent="0.25">
      <c r="A227" s="389"/>
      <c r="B227" s="396" t="str">
        <f>IF(ISBLANK(B225),"",CONCATENATE($E$17,$F$17,".",$G$17,".","0",RIGHT($B$215,1),".",RIGHT(L227,1),$A$50,"-",A225))</f>
        <v/>
      </c>
      <c r="C227" s="397"/>
      <c r="D227" s="398"/>
      <c r="E227" s="350"/>
      <c r="F227" s="350"/>
      <c r="G227" s="351"/>
      <c r="H227" s="352"/>
      <c r="I227" s="352"/>
      <c r="J227" s="352"/>
      <c r="K227" s="353"/>
      <c r="L227" s="345"/>
      <c r="M227" s="349"/>
      <c r="N227" s="396" t="str">
        <f>IF(ISBLANK(N225),"",CONCATENATE($E$17,$F$17,".",$G$17,".","0",RIGHT($N$215,1),".",RIGHT(X227,1),$A$50,"-",A225))</f>
        <v/>
      </c>
      <c r="O227" s="397"/>
      <c r="P227" s="398"/>
      <c r="Q227" s="350"/>
      <c r="R227" s="350"/>
      <c r="S227" s="351"/>
      <c r="T227" s="352"/>
      <c r="U227" s="352"/>
      <c r="V227" s="352"/>
      <c r="W227" s="353"/>
      <c r="X227" s="345"/>
      <c r="Y227" s="349"/>
    </row>
    <row r="228" spans="1:25" ht="15.75" thickTop="1" x14ac:dyDescent="0.2"/>
    <row r="229" spans="1:25" x14ac:dyDescent="0.25">
      <c r="A229" s="399" t="s">
        <v>274</v>
      </c>
      <c r="B229" s="399"/>
      <c r="C229" s="399"/>
      <c r="D229" s="399"/>
      <c r="E229" s="399"/>
      <c r="F229" s="399"/>
      <c r="G229" s="399"/>
      <c r="H229" s="399"/>
      <c r="I229" s="399"/>
      <c r="J229" s="399"/>
      <c r="K229" s="399"/>
      <c r="L229" s="399"/>
      <c r="M229" s="399"/>
      <c r="N229" s="399"/>
      <c r="O229" s="399"/>
      <c r="P229" s="399"/>
      <c r="Q229" s="399"/>
      <c r="R229" s="399"/>
      <c r="S229" s="399"/>
      <c r="T229" s="399"/>
      <c r="U229" s="399"/>
      <c r="V229" s="399"/>
      <c r="W229" s="399"/>
      <c r="X229" s="399"/>
      <c r="Y229" s="399"/>
    </row>
    <row r="232" spans="1:25" ht="18" x14ac:dyDescent="0.2">
      <c r="A232" s="403" t="s">
        <v>273</v>
      </c>
      <c r="B232" s="403"/>
      <c r="C232" s="403"/>
      <c r="D232" s="403"/>
      <c r="E232" s="403"/>
      <c r="F232" s="403"/>
      <c r="G232" s="403"/>
      <c r="H232" s="403"/>
      <c r="I232" s="403"/>
      <c r="J232" s="403"/>
      <c r="K232" s="403"/>
      <c r="L232" s="403"/>
      <c r="M232" s="403"/>
      <c r="N232" s="403"/>
      <c r="O232" s="403"/>
      <c r="P232" s="403"/>
      <c r="Q232" s="403"/>
      <c r="R232" s="403"/>
      <c r="S232" s="403"/>
      <c r="T232" s="403"/>
      <c r="U232" s="403"/>
      <c r="V232" s="403"/>
      <c r="W232" s="403"/>
      <c r="X232" s="403"/>
      <c r="Y232" s="403"/>
    </row>
    <row r="233" spans="1:25" ht="18" x14ac:dyDescent="0.2">
      <c r="A233" s="404" t="str">
        <f>A20</f>
        <v>Pentru seria de studenti 2022-2024</v>
      </c>
      <c r="B233" s="404"/>
      <c r="C233" s="404"/>
      <c r="D233" s="404"/>
      <c r="E233" s="404"/>
      <c r="F233" s="404"/>
      <c r="G233" s="404"/>
      <c r="H233" s="404"/>
      <c r="I233" s="404"/>
      <c r="J233" s="404"/>
      <c r="K233" s="404"/>
      <c r="L233" s="404"/>
      <c r="M233" s="404"/>
      <c r="N233" s="404"/>
      <c r="O233" s="404"/>
      <c r="P233" s="404"/>
      <c r="Q233" s="404"/>
      <c r="R233" s="404"/>
      <c r="S233" s="404"/>
      <c r="T233" s="404"/>
      <c r="U233" s="404"/>
      <c r="V233" s="404"/>
      <c r="W233" s="404"/>
      <c r="X233" s="404"/>
      <c r="Y233" s="404"/>
    </row>
    <row r="234" spans="1:25" ht="15.75" thickBot="1" x14ac:dyDescent="0.3">
      <c r="A234" s="405" t="str">
        <f>A63</f>
        <v>ANUL II (2023-2024)</v>
      </c>
      <c r="B234" s="405"/>
      <c r="C234" s="405"/>
      <c r="D234" s="405"/>
      <c r="E234" s="405"/>
      <c r="F234" s="405"/>
      <c r="G234" s="405"/>
      <c r="H234" s="405"/>
      <c r="I234" s="405"/>
      <c r="J234" s="405"/>
      <c r="K234" s="405"/>
      <c r="L234" s="405"/>
      <c r="M234" s="405"/>
      <c r="N234" s="405"/>
      <c r="O234" s="405"/>
      <c r="P234" s="405"/>
      <c r="Q234" s="405"/>
      <c r="R234" s="405"/>
      <c r="S234" s="405"/>
      <c r="T234" s="405"/>
      <c r="U234" s="405"/>
      <c r="V234" s="405"/>
      <c r="W234" s="405"/>
      <c r="X234" s="405"/>
      <c r="Y234" s="405"/>
    </row>
    <row r="235" spans="1:25" ht="16.5" thickTop="1" thickBot="1" x14ac:dyDescent="0.25">
      <c r="A235" s="99"/>
      <c r="B235" s="406" t="s">
        <v>2</v>
      </c>
      <c r="C235" s="407"/>
      <c r="D235" s="407"/>
      <c r="E235" s="407"/>
      <c r="F235" s="407"/>
      <c r="G235" s="407"/>
      <c r="H235" s="407"/>
      <c r="I235" s="407"/>
      <c r="J235" s="407"/>
      <c r="K235" s="407"/>
      <c r="L235" s="407"/>
      <c r="M235" s="408"/>
      <c r="N235" s="407" t="s">
        <v>3</v>
      </c>
      <c r="O235" s="407"/>
      <c r="P235" s="407"/>
      <c r="Q235" s="407"/>
      <c r="R235" s="407"/>
      <c r="S235" s="407"/>
      <c r="T235" s="407"/>
      <c r="U235" s="407"/>
      <c r="V235" s="407"/>
      <c r="W235" s="407"/>
      <c r="X235" s="407"/>
      <c r="Y235" s="408"/>
    </row>
    <row r="236" spans="1:25" thickTop="1" x14ac:dyDescent="0.2">
      <c r="A236" s="388" t="s">
        <v>33</v>
      </c>
      <c r="B236" s="390"/>
      <c r="C236" s="391"/>
      <c r="D236" s="391"/>
      <c r="E236" s="391"/>
      <c r="F236" s="391"/>
      <c r="G236" s="391"/>
      <c r="H236" s="391"/>
      <c r="I236" s="391"/>
      <c r="J236" s="391"/>
      <c r="K236" s="391"/>
      <c r="L236" s="391"/>
      <c r="M236" s="392"/>
      <c r="N236" s="390"/>
      <c r="O236" s="391"/>
      <c r="P236" s="391"/>
      <c r="Q236" s="391"/>
      <c r="R236" s="391"/>
      <c r="S236" s="391"/>
      <c r="T236" s="391"/>
      <c r="U236" s="391"/>
      <c r="V236" s="391"/>
      <c r="W236" s="391"/>
      <c r="X236" s="391"/>
      <c r="Y236" s="392"/>
    </row>
    <row r="237" spans="1:25" ht="14.25" x14ac:dyDescent="0.2">
      <c r="A237" s="388"/>
      <c r="B237" s="393"/>
      <c r="C237" s="394"/>
      <c r="D237" s="394"/>
      <c r="E237" s="394"/>
      <c r="F237" s="394"/>
      <c r="G237" s="394"/>
      <c r="H237" s="394"/>
      <c r="I237" s="394"/>
      <c r="J237" s="394"/>
      <c r="K237" s="394"/>
      <c r="L237" s="394"/>
      <c r="M237" s="395"/>
      <c r="N237" s="393"/>
      <c r="O237" s="394"/>
      <c r="P237" s="394"/>
      <c r="Q237" s="394"/>
      <c r="R237" s="394"/>
      <c r="S237" s="394"/>
      <c r="T237" s="394"/>
      <c r="U237" s="394"/>
      <c r="V237" s="394"/>
      <c r="W237" s="394"/>
      <c r="X237" s="394"/>
      <c r="Y237" s="395"/>
    </row>
    <row r="238" spans="1:25" ht="15.75" thickBot="1" x14ac:dyDescent="0.25">
      <c r="A238" s="389"/>
      <c r="B238" s="396" t="str">
        <f>IF(ISBLANK(B236),"",CONCATENATE($E$17,$F$17,".",$G$17,".","0",RIGHT($B$235,1),".",RIGHT(L238,1),$A$50,"-",A236))</f>
        <v/>
      </c>
      <c r="C238" s="397"/>
      <c r="D238" s="398"/>
      <c r="E238" s="350"/>
      <c r="F238" s="350"/>
      <c r="G238" s="351"/>
      <c r="H238" s="352"/>
      <c r="I238" s="352"/>
      <c r="J238" s="352"/>
      <c r="K238" s="353"/>
      <c r="L238" s="345"/>
      <c r="M238" s="349"/>
      <c r="N238" s="396" t="str">
        <f>IF(ISBLANK(N236),"",CONCATENATE($E$17,$F$17,".",$G$17,".","0",RIGHT($N$235,1),".",RIGHT(X238,1),$A$50,"-",A236))</f>
        <v/>
      </c>
      <c r="O238" s="397"/>
      <c r="P238" s="398"/>
      <c r="Q238" s="350"/>
      <c r="R238" s="350"/>
      <c r="S238" s="351"/>
      <c r="T238" s="352"/>
      <c r="U238" s="352"/>
      <c r="V238" s="352"/>
      <c r="W238" s="353"/>
      <c r="X238" s="345"/>
      <c r="Y238" s="349"/>
    </row>
    <row r="239" spans="1:25" thickTop="1" x14ac:dyDescent="0.2">
      <c r="A239" s="388" t="s">
        <v>34</v>
      </c>
      <c r="B239" s="400"/>
      <c r="C239" s="401"/>
      <c r="D239" s="401"/>
      <c r="E239" s="401"/>
      <c r="F239" s="401"/>
      <c r="G239" s="401"/>
      <c r="H239" s="401"/>
      <c r="I239" s="401"/>
      <c r="J239" s="401"/>
      <c r="K239" s="401"/>
      <c r="L239" s="401"/>
      <c r="M239" s="402"/>
      <c r="N239" s="390"/>
      <c r="O239" s="391"/>
      <c r="P239" s="391"/>
      <c r="Q239" s="391"/>
      <c r="R239" s="391"/>
      <c r="S239" s="391"/>
      <c r="T239" s="391"/>
      <c r="U239" s="391"/>
      <c r="V239" s="391"/>
      <c r="W239" s="391"/>
      <c r="X239" s="391"/>
      <c r="Y239" s="392"/>
    </row>
    <row r="240" spans="1:25" ht="14.25" x14ac:dyDescent="0.2">
      <c r="A240" s="388"/>
      <c r="B240" s="393"/>
      <c r="C240" s="394"/>
      <c r="D240" s="394"/>
      <c r="E240" s="394"/>
      <c r="F240" s="394"/>
      <c r="G240" s="394"/>
      <c r="H240" s="394"/>
      <c r="I240" s="394"/>
      <c r="J240" s="394"/>
      <c r="K240" s="394"/>
      <c r="L240" s="394"/>
      <c r="M240" s="395"/>
      <c r="N240" s="393"/>
      <c r="O240" s="394"/>
      <c r="P240" s="394"/>
      <c r="Q240" s="394"/>
      <c r="R240" s="394"/>
      <c r="S240" s="394"/>
      <c r="T240" s="394"/>
      <c r="U240" s="394"/>
      <c r="V240" s="394"/>
      <c r="W240" s="394"/>
      <c r="X240" s="394"/>
      <c r="Y240" s="395"/>
    </row>
    <row r="241" spans="1:25" ht="15.75" thickBot="1" x14ac:dyDescent="0.25">
      <c r="A241" s="389"/>
      <c r="B241" s="396" t="str">
        <f>IF(ISBLANK(B239),"",CONCATENATE($E$17,$F$17,".",$G$17,".","0",RIGHT($B$235,1),".",RIGHT(L241,1),$A$50,"-",A239))</f>
        <v/>
      </c>
      <c r="C241" s="397"/>
      <c r="D241" s="398"/>
      <c r="E241" s="350"/>
      <c r="F241" s="350"/>
      <c r="G241" s="351"/>
      <c r="H241" s="352"/>
      <c r="I241" s="352"/>
      <c r="J241" s="352"/>
      <c r="K241" s="353"/>
      <c r="L241" s="345"/>
      <c r="M241" s="349"/>
      <c r="N241" s="396" t="str">
        <f>IF(ISBLANK(N239),"",CONCATENATE($E$17,$F$17,".",$G$17,".","0",RIGHT($N$235,1),".",RIGHT(X241,1),$A$50,"-",A239))</f>
        <v/>
      </c>
      <c r="O241" s="397"/>
      <c r="P241" s="398"/>
      <c r="Q241" s="350"/>
      <c r="R241" s="350"/>
      <c r="S241" s="351"/>
      <c r="T241" s="352"/>
      <c r="U241" s="352"/>
      <c r="V241" s="352"/>
      <c r="W241" s="353"/>
      <c r="X241" s="345"/>
      <c r="Y241" s="349"/>
    </row>
    <row r="242" spans="1:25" thickTop="1" x14ac:dyDescent="0.2">
      <c r="A242" s="387" t="s">
        <v>35</v>
      </c>
      <c r="B242" s="390"/>
      <c r="C242" s="391"/>
      <c r="D242" s="391"/>
      <c r="E242" s="391"/>
      <c r="F242" s="391"/>
      <c r="G242" s="391"/>
      <c r="H242" s="391"/>
      <c r="I242" s="391"/>
      <c r="J242" s="391"/>
      <c r="K242" s="391"/>
      <c r="L242" s="391"/>
      <c r="M242" s="392"/>
      <c r="N242" s="390"/>
      <c r="O242" s="391"/>
      <c r="P242" s="391"/>
      <c r="Q242" s="391"/>
      <c r="R242" s="391"/>
      <c r="S242" s="391"/>
      <c r="T242" s="391"/>
      <c r="U242" s="391"/>
      <c r="V242" s="391"/>
      <c r="W242" s="391"/>
      <c r="X242" s="391"/>
      <c r="Y242" s="392"/>
    </row>
    <row r="243" spans="1:25" ht="14.25" x14ac:dyDescent="0.2">
      <c r="A243" s="388"/>
      <c r="B243" s="393"/>
      <c r="C243" s="394"/>
      <c r="D243" s="394"/>
      <c r="E243" s="394"/>
      <c r="F243" s="394"/>
      <c r="G243" s="394"/>
      <c r="H243" s="394"/>
      <c r="I243" s="394"/>
      <c r="J243" s="394"/>
      <c r="K243" s="394"/>
      <c r="L243" s="394"/>
      <c r="M243" s="395"/>
      <c r="N243" s="393"/>
      <c r="O243" s="394"/>
      <c r="P243" s="394"/>
      <c r="Q243" s="394"/>
      <c r="R243" s="394"/>
      <c r="S243" s="394"/>
      <c r="T243" s="394"/>
      <c r="U243" s="394"/>
      <c r="V243" s="394"/>
      <c r="W243" s="394"/>
      <c r="X243" s="394"/>
      <c r="Y243" s="395"/>
    </row>
    <row r="244" spans="1:25" ht="15.75" thickBot="1" x14ac:dyDescent="0.25">
      <c r="A244" s="389"/>
      <c r="B244" s="396" t="str">
        <f>IF(ISBLANK(B242),"",CONCATENATE($E$17,$F$17,".",$G$17,".","0",RIGHT($B$235,1),".",RIGHT(L244,1),$A$50,"-",A242))</f>
        <v/>
      </c>
      <c r="C244" s="397"/>
      <c r="D244" s="398"/>
      <c r="E244" s="350"/>
      <c r="F244" s="350"/>
      <c r="G244" s="351"/>
      <c r="H244" s="352"/>
      <c r="I244" s="352"/>
      <c r="J244" s="352"/>
      <c r="K244" s="353"/>
      <c r="L244" s="345"/>
      <c r="M244" s="349"/>
      <c r="N244" s="396" t="str">
        <f>IF(ISBLANK(N242),"",CONCATENATE($E$17,$F$17,".",$G$17,".","0",RIGHT($N$235,1),".",RIGHT(X244,1),$A$50,"-",A242))</f>
        <v/>
      </c>
      <c r="O244" s="397"/>
      <c r="P244" s="398"/>
      <c r="Q244" s="350"/>
      <c r="R244" s="350"/>
      <c r="S244" s="351"/>
      <c r="T244" s="352"/>
      <c r="U244" s="352"/>
      <c r="V244" s="352"/>
      <c r="W244" s="353"/>
      <c r="X244" s="345"/>
      <c r="Y244" s="349"/>
    </row>
    <row r="245" spans="1:25" thickTop="1" x14ac:dyDescent="0.2">
      <c r="A245" s="387" t="s">
        <v>36</v>
      </c>
      <c r="B245" s="390"/>
      <c r="C245" s="391"/>
      <c r="D245" s="391"/>
      <c r="E245" s="391"/>
      <c r="F245" s="391"/>
      <c r="G245" s="391"/>
      <c r="H245" s="391"/>
      <c r="I245" s="391"/>
      <c r="J245" s="391"/>
      <c r="K245" s="391"/>
      <c r="L245" s="391"/>
      <c r="M245" s="392"/>
      <c r="N245" s="390"/>
      <c r="O245" s="391"/>
      <c r="P245" s="391"/>
      <c r="Q245" s="391"/>
      <c r="R245" s="391"/>
      <c r="S245" s="391"/>
      <c r="T245" s="391"/>
      <c r="U245" s="391"/>
      <c r="V245" s="391"/>
      <c r="W245" s="391"/>
      <c r="X245" s="391"/>
      <c r="Y245" s="392"/>
    </row>
    <row r="246" spans="1:25" ht="14.25" x14ac:dyDescent="0.2">
      <c r="A246" s="388"/>
      <c r="B246" s="393"/>
      <c r="C246" s="394"/>
      <c r="D246" s="394"/>
      <c r="E246" s="394"/>
      <c r="F246" s="394"/>
      <c r="G246" s="394"/>
      <c r="H246" s="394"/>
      <c r="I246" s="394"/>
      <c r="J246" s="394"/>
      <c r="K246" s="394"/>
      <c r="L246" s="394"/>
      <c r="M246" s="395"/>
      <c r="N246" s="393"/>
      <c r="O246" s="394"/>
      <c r="P246" s="394"/>
      <c r="Q246" s="394"/>
      <c r="R246" s="394"/>
      <c r="S246" s="394"/>
      <c r="T246" s="394"/>
      <c r="U246" s="394"/>
      <c r="V246" s="394"/>
      <c r="W246" s="394"/>
      <c r="X246" s="394"/>
      <c r="Y246" s="395"/>
    </row>
    <row r="247" spans="1:25" ht="15.75" thickBot="1" x14ac:dyDescent="0.25">
      <c r="A247" s="389"/>
      <c r="B247" s="396" t="str">
        <f>IF(ISBLANK(B245),"",CONCATENATE($E$17,$F$17,".",$G$17,".","0",RIGHT($B$235,1),".",RIGHT(L247,1),$A$50,"-",A245))</f>
        <v/>
      </c>
      <c r="C247" s="397"/>
      <c r="D247" s="398"/>
      <c r="E247" s="350"/>
      <c r="F247" s="350"/>
      <c r="G247" s="351"/>
      <c r="H247" s="352"/>
      <c r="I247" s="352"/>
      <c r="J247" s="352"/>
      <c r="K247" s="353"/>
      <c r="L247" s="345"/>
      <c r="M247" s="349"/>
      <c r="N247" s="396" t="str">
        <f>IF(ISBLANK(N245),"",CONCATENATE($E$17,$F$17,".",$G$17,".","0",RIGHT($N$235,1),".",RIGHT(X247,1),$A$50,"-",A245))</f>
        <v/>
      </c>
      <c r="O247" s="397"/>
      <c r="P247" s="398"/>
      <c r="Q247" s="350"/>
      <c r="R247" s="350"/>
      <c r="S247" s="351"/>
      <c r="T247" s="352"/>
      <c r="U247" s="352"/>
      <c r="V247" s="352"/>
      <c r="W247" s="353"/>
      <c r="X247" s="345"/>
      <c r="Y247" s="349"/>
    </row>
    <row r="248" spans="1:25" ht="15.75" thickTop="1" x14ac:dyDescent="0.2"/>
    <row r="249" spans="1:25" x14ac:dyDescent="0.25">
      <c r="A249" s="399" t="s">
        <v>274</v>
      </c>
      <c r="B249" s="399"/>
      <c r="C249" s="399"/>
      <c r="D249" s="399"/>
      <c r="E249" s="399"/>
      <c r="F249" s="399"/>
      <c r="G249" s="399"/>
      <c r="H249" s="399"/>
      <c r="I249" s="399"/>
      <c r="J249" s="399"/>
      <c r="K249" s="399"/>
      <c r="L249" s="399"/>
      <c r="M249" s="399"/>
      <c r="N249" s="399"/>
      <c r="O249" s="399"/>
      <c r="P249" s="399"/>
      <c r="Q249" s="399"/>
      <c r="R249" s="399"/>
      <c r="S249" s="399"/>
      <c r="T249" s="399"/>
      <c r="U249" s="399"/>
      <c r="V249" s="399"/>
      <c r="W249" s="399"/>
      <c r="X249" s="399"/>
      <c r="Y249" s="399"/>
    </row>
    <row r="250" spans="1:25" x14ac:dyDescent="0.25">
      <c r="A250" s="356"/>
      <c r="B250" s="356"/>
      <c r="C250" s="356"/>
      <c r="D250" s="356"/>
      <c r="E250" s="356"/>
      <c r="F250" s="356"/>
      <c r="G250" s="356"/>
      <c r="H250" s="356"/>
      <c r="I250" s="356"/>
      <c r="J250" s="356"/>
      <c r="K250" s="356"/>
      <c r="L250" s="356"/>
      <c r="M250" s="356"/>
      <c r="N250" s="356"/>
      <c r="O250" s="356"/>
      <c r="P250" s="356"/>
      <c r="Q250" s="356"/>
      <c r="R250" s="356"/>
      <c r="S250" s="356"/>
      <c r="T250" s="356"/>
      <c r="U250" s="356"/>
      <c r="V250" s="356"/>
      <c r="W250" s="356"/>
      <c r="X250" s="356"/>
      <c r="Y250" s="356"/>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Conf.univ.dr.arh. Cristian-Tiberiu BLIDARIU</v>
      </c>
    </row>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8" hidden="1" x14ac:dyDescent="0.2"/>
    <row r="402" spans="1:98" hidden="1" x14ac:dyDescent="0.2"/>
    <row r="403" spans="1:98" hidden="1" x14ac:dyDescent="0.2"/>
    <row r="404" spans="1:98" hidden="1" x14ac:dyDescent="0.2"/>
    <row r="405" spans="1:98" hidden="1" x14ac:dyDescent="0.2"/>
    <row r="406" spans="1:98" hidden="1" x14ac:dyDescent="0.2"/>
    <row r="407" spans="1:98" hidden="1" x14ac:dyDescent="0.2"/>
    <row r="408" spans="1:98" hidden="1" x14ac:dyDescent="0.2"/>
    <row r="409" spans="1:98" hidden="1" x14ac:dyDescent="0.2"/>
    <row r="410" spans="1:98" hidden="1" x14ac:dyDescent="0.2"/>
    <row r="411" spans="1:98" hidden="1" x14ac:dyDescent="0.2"/>
    <row r="412" spans="1:98" hidden="1" x14ac:dyDescent="0.2"/>
    <row r="413" spans="1:98" hidden="1" x14ac:dyDescent="0.2"/>
    <row r="414" spans="1:98" hidden="1" x14ac:dyDescent="0.2"/>
    <row r="415" spans="1:98" s="202" customFormat="1" ht="21" hidden="1" customHeight="1" x14ac:dyDescent="0.35">
      <c r="A415" s="508" t="s">
        <v>131</v>
      </c>
      <c r="B415" s="508"/>
      <c r="C415" s="508"/>
      <c r="D415" s="330"/>
      <c r="E415" s="330"/>
      <c r="F415" s="330"/>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8" s="202" customFormat="1" ht="21" hidden="1" customHeight="1" x14ac:dyDescent="0.2">
      <c r="B416" s="330"/>
      <c r="C416" s="330"/>
      <c r="D416" s="330"/>
      <c r="E416" s="330"/>
      <c r="F416" s="330"/>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01"/>
      <c r="AX416" s="501"/>
      <c r="AY416" s="501"/>
      <c r="AZ416" s="501"/>
      <c r="BA416" s="198"/>
      <c r="BB416" s="502" t="s">
        <v>132</v>
      </c>
      <c r="BC416" s="502"/>
      <c r="BD416" s="502"/>
      <c r="BE416" s="199"/>
      <c r="BF416" s="199"/>
      <c r="BG416" s="199"/>
      <c r="BH416" s="502" t="s">
        <v>133</v>
      </c>
      <c r="BI416" s="502"/>
      <c r="BJ416" s="502"/>
      <c r="BK416" s="502"/>
      <c r="BL416" s="502"/>
      <c r="BM416" s="502"/>
      <c r="BN416" s="502"/>
      <c r="BO416" s="502"/>
      <c r="BP416" s="198"/>
      <c r="BQ416" s="199"/>
      <c r="BR416" s="502" t="s">
        <v>134</v>
      </c>
      <c r="BS416" s="502"/>
      <c r="BT416" s="502"/>
      <c r="BU416" s="502"/>
      <c r="BV416" s="502"/>
      <c r="BW416" s="502"/>
      <c r="BX416" s="502"/>
      <c r="BY416" s="502"/>
      <c r="BZ416" s="502"/>
      <c r="CA416" s="502"/>
      <c r="CB416" s="219"/>
      <c r="CC416" s="219"/>
      <c r="CD416" s="219"/>
      <c r="CE416" s="219"/>
      <c r="CF416" s="198"/>
      <c r="CG416" s="199"/>
      <c r="CH416" s="199"/>
      <c r="CI416" s="199"/>
      <c r="CJ416" s="198" t="s">
        <v>135</v>
      </c>
      <c r="CK416" s="198"/>
      <c r="CL416" s="198"/>
      <c r="CM416" s="198"/>
      <c r="CN416" s="198"/>
      <c r="CO416" s="198"/>
      <c r="CP416" s="198"/>
      <c r="CQ416" s="198"/>
      <c r="CR416" s="198"/>
      <c r="CS416" s="199"/>
      <c r="CT416" s="199"/>
    </row>
    <row r="417" spans="1:98" s="202" customFormat="1" ht="21" hidden="1" customHeight="1" x14ac:dyDescent="0.2">
      <c r="A417" s="202" t="s">
        <v>190</v>
      </c>
      <c r="B417" s="330"/>
      <c r="C417" s="331" t="s">
        <v>191</v>
      </c>
      <c r="D417" s="330"/>
      <c r="E417" s="330"/>
      <c r="F417" s="330"/>
      <c r="G417" s="198"/>
      <c r="H417" s="198"/>
      <c r="I417" s="198"/>
      <c r="J417" s="198"/>
      <c r="K417" s="199"/>
      <c r="L417" s="200"/>
      <c r="S417" s="502"/>
      <c r="T417" s="502"/>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502" t="s">
        <v>136</v>
      </c>
      <c r="AV417" s="502"/>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219"/>
      <c r="CC417" s="219"/>
      <c r="CD417" s="219"/>
      <c r="CE417" s="219"/>
      <c r="CF417" s="198"/>
      <c r="CG417" s="199"/>
      <c r="CH417" s="199"/>
      <c r="CI417" s="199"/>
      <c r="CJ417" s="198"/>
      <c r="CK417" s="198"/>
      <c r="CL417" s="198"/>
      <c r="CM417" s="198"/>
      <c r="CN417" s="198"/>
      <c r="CO417" s="198"/>
      <c r="CP417" s="198"/>
      <c r="CQ417" s="198"/>
      <c r="CR417" s="198"/>
      <c r="CS417" s="199"/>
      <c r="CT417" s="199"/>
    </row>
    <row r="418" spans="1:98" s="202" customFormat="1" ht="21" hidden="1" customHeight="1" x14ac:dyDescent="0.25">
      <c r="A418" s="1" t="s">
        <v>249</v>
      </c>
      <c r="B418" s="3"/>
      <c r="C418" s="332" t="s">
        <v>250</v>
      </c>
      <c r="D418" s="330"/>
      <c r="E418" s="330"/>
      <c r="F418" s="330"/>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5</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0</v>
      </c>
      <c r="AZ418" s="203" t="str">
        <f t="shared" ref="AZ418:AZ421" si="4">CONCATENATE(AW418,"E,",AX418,"D,",AY418,"C")</f>
        <v>5E,1D,0C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340"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340" t="e">
        <f>$E$21*COUNTIF($B$19,"*op?ional*")+$E$24*COUNTIF($B$22,"*op?ional*")+$E$27*COUNTIF($B$25,"*op?ional*")+$E$30*COUNTIF($B$28,"*op?ional*")+$E$33*COUNTIF($B$31,"*op?ional*")+$E$36*COUNTIF($B$34,"*op?ional*")+$E$39*COUNTIF($B$37,"*op?ional*")+$E$42*COUNTIF($B$40,"*op?ional*")+#REF!*COUNTIF($B$43,"*op?ional*")+#REF!*COUNTIF($B$55,"*op?ional*")+$E$61*COUNTIF($B$58,"*op?ional*")</f>
        <v>#REF!</v>
      </c>
      <c r="BK418" s="198"/>
      <c r="BL418" s="358">
        <f>$E$25*COUNTIF($B$23,"practic?*")+$E$28*COUNTIF($B$26,"practic?*")+$E$31*COUNTIF($B$29,"practic?*")+$E$34*COUNTIF($B$32,"practic?*")+$E$37*COUNTIF($B$35,"practic?*")+$E$40*COUNTIF($B$38,"practic?*")+$E$43*COUNTIF($B$41,"practic?*")+$E$46*COUNTIF($B$44,"practic?*")+$E$49*COUNTIF($B$47,"practic?*")</f>
        <v>0</v>
      </c>
      <c r="BM418" s="340"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340"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340"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219"/>
      <c r="CC418" s="219"/>
      <c r="CD418" s="219"/>
      <c r="CE418" s="219"/>
      <c r="CF418" s="198"/>
      <c r="CG418" s="199"/>
      <c r="CH418" s="199"/>
      <c r="CI418" s="199"/>
      <c r="CJ418" s="198"/>
      <c r="CK418" s="198"/>
      <c r="CL418" s="198"/>
      <c r="CM418" s="198"/>
      <c r="CN418" s="198"/>
      <c r="CO418" s="198"/>
      <c r="CP418" s="198"/>
      <c r="CQ418" s="198"/>
      <c r="CR418" s="198"/>
      <c r="CS418" s="199"/>
      <c r="CT418" s="199"/>
    </row>
    <row r="419" spans="1:98" s="202" customFormat="1" ht="21" hidden="1" customHeight="1" x14ac:dyDescent="0.25">
      <c r="A419" s="1"/>
      <c r="B419" s="3"/>
      <c r="C419" s="332" t="s">
        <v>251</v>
      </c>
      <c r="D419" s="330"/>
      <c r="E419" s="330"/>
      <c r="F419" s="330"/>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5</v>
      </c>
      <c r="AX419" s="203">
        <f>COUNTIF($R$25,"D")+COUNTIF($R$28,"D")+COUNTIF($R$31,"D")+COUNTIF($R$34,"D")+COUNTIF($R$37,"D")+COUNTIF($R$40,"D")+COUNTIF($R$43,"D")+COUNTIF($R$46,"D")+COUNTIF($R$49,"D")+COUNTIF($R$25,"P-D")+COUNTIF($R$28,"P-D")+COUNTIF($R$31,"P-D")+COUNTIF($R$34,"P-D")+COUNTIF($R$37,"P-D")+COUNTIF($R$40,"P-D")+COUNTIF($R$43,"P-D")+COUNTIF($R$46,"P-D")+COUNTIF($R$49,"P-D")</f>
        <v>2</v>
      </c>
      <c r="AY419" s="203">
        <f>COUNTIF($R$25,"C")+COUNTIF($R$28,"C")+COUNTIF($R$31,"C")+COUNTIF($R$34,"C")+COUNTIF($R$37,"C")+COUNTIF($R$40,"C")+COUNTIF($R$43,"C")+COUNTIF($R$46,"C")+COUNTIF($R$49,"C")</f>
        <v>0</v>
      </c>
      <c r="AZ419" s="203" t="str">
        <f t="shared" si="4"/>
        <v>5E,2D,0C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340">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340">
        <f>$P$21*COUNTIF($M$19,"*op?ional*")+$P$24*COUNTIF($M$22,"*op?ional*")+$P$27*COUNTIF($M$25,"*op?ional*")+$P$30*COUNTIF($M$28,"*op?ional*")+$P$33*COUNTIF($M$31,"*op?ional*")+$P$36*COUNTIF($M$34,"*op?ional*")+$P$39*COUNTIF($M$37,"*op?ional*")+$P$42*COUNTIF($M$40,"*op?ional*")+$P$54*COUNTIF($M$43,"*op?ional*")+$P$57*COUNTIF($M$55,"*op?ional*")+$P$61*COUNTIF($M$58,"*op?ional*")</f>
        <v>0</v>
      </c>
      <c r="BK419" s="198"/>
      <c r="BL419" s="358">
        <f>$Q$25*COUNTIF($N$23,"practic?*")+$Q$28*COUNTIF($N$26,"practic?*")+$Q$31*COUNTIF($N$29,"practic?*")+$Q$34*COUNTIF($N$32,"practic?*")+$Q$37*COUNTIF($N$35,"practic?*")+$Q$40*COUNTIF($N$38,"practic?*")+$Q$43*COUNTIF($N$41,"practic?*")+$Q$46*COUNTIF($N$44,"practic?*")+$Q$49*COUNTIF($N$47,"practic?*")</f>
        <v>4</v>
      </c>
      <c r="BM419" s="340">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340">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340">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219"/>
      <c r="CC419" s="219"/>
      <c r="CD419" s="219"/>
      <c r="CE419" s="219"/>
      <c r="CF419" s="198"/>
      <c r="CG419" s="199"/>
      <c r="CH419" s="199"/>
      <c r="CI419" s="199"/>
      <c r="CJ419" s="198"/>
      <c r="CK419" s="198"/>
      <c r="CL419" s="198"/>
      <c r="CM419" s="198"/>
      <c r="CN419" s="198"/>
      <c r="CO419" s="198"/>
      <c r="CP419" s="198"/>
      <c r="CQ419" s="198"/>
      <c r="CR419" s="198"/>
      <c r="CS419" s="199"/>
      <c r="CT419" s="199"/>
    </row>
    <row r="420" spans="1:98" s="202" customFormat="1" ht="21" hidden="1" customHeight="1" x14ac:dyDescent="0.25">
      <c r="A420" s="202" t="s">
        <v>275</v>
      </c>
      <c r="B420" s="344"/>
      <c r="C420" s="208" t="s">
        <v>276</v>
      </c>
      <c r="D420" s="344"/>
      <c r="E420" s="344"/>
      <c r="F420" s="344"/>
      <c r="G420" s="344"/>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2</v>
      </c>
      <c r="AX420" s="203">
        <f>COUNTIF($F$67,"D")+COUNTIF($F$70,"D")+COUNTIF($F$73,"D")+COUNTIF($F$76,"D")+COUNTIF($F$79,"D")+COUNTIF($F$82,"D")+COUNTIF($F$85,"D")+COUNTIF($F$88,"D")+COUNTIF($F$91,"D")+COUNTIF($F$67,"P-D")+COUNTIF($F$70,"P-D")+COUNTIF($F$73,"P-D")+COUNTIF($F$76,"P-D")+COUNTIF($F$79,"P-D")+COUNTIF($F$82,"P-D")+COUNTIF($F$85,"P-D")+COUNTIF($F$88,"P-D")+COUNTIF($F$91,"P-D")</f>
        <v>4</v>
      </c>
      <c r="AY420" s="203">
        <f>COUNTIF($F$67,"C")+COUNTIF($F$70,"C")+COUNTIF($F$73,"C")+COUNTIF($F$76,"C")+COUNTIF($F$79,"C")+COUNTIF($F$82,"C")+COUNTIF($F$85,"C")+COUNTIF($F$88,"C")+COUNTIF($F$91,"C")</f>
        <v>0</v>
      </c>
      <c r="AZ420" s="203" t="str">
        <f t="shared" si="4"/>
        <v>2E,4D,0C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340">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340">
        <f>$AA$21*COUNTIF($X$19,"*op?ional*")+$AA$24*COUNTIF($X$22,"*op?ional*")+$AA$27*COUNTIF($X$25,"*op?ional*")+$AA$30*COUNTIF($X$28,"*op?ional*")+$AA$33*COUNTIF($X$31,"*op?ional*")+$AA$36*COUNTIF($X$34,"*op?ional*")+$AA$39*COUNTIF($X$37,"*op?ional*")+$AA$42*COUNTIF($X$40,"*op?ional*")+$AA$54*COUNTIF($X$43,"*op?ional*")+$AA$57*COUNTIF($X$55,"*op?ional*")+$AA$61*COUNTIF($X$58,"*op?ional*")</f>
        <v>0</v>
      </c>
      <c r="BK420" s="198"/>
      <c r="BL420" s="358">
        <f>$E$67*COUNTIF($B$65,"practic?*")+$E$70*COUNTIF($B$68,"practic?*")+$E$73*COUNTIF($B$71,"practic?*")+$E$76*COUNTIF($B$74,"practic?*")+$E$79*COUNTIF($B$77,"practic?*")+$E$82*COUNTIF($B$80,"practic?*")+$E$85*COUNTIF($B$83,"practic?*")+$E$88*COUNTIF($B$86,"practic?*")+$E$91*COUNTIF($B$89,"practic?*")</f>
        <v>0</v>
      </c>
      <c r="BM420" s="340">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340">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340">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219"/>
      <c r="CC420" s="219"/>
      <c r="CD420" s="219"/>
      <c r="CE420" s="219"/>
      <c r="CF420" s="198"/>
      <c r="CG420" s="199"/>
      <c r="CH420" s="199"/>
      <c r="CI420" s="199"/>
      <c r="CJ420" s="198"/>
      <c r="CK420" s="198"/>
      <c r="CL420" s="198"/>
      <c r="CM420" s="198"/>
      <c r="CN420" s="198"/>
      <c r="CO420" s="198"/>
      <c r="CP420" s="198"/>
      <c r="CQ420" s="198"/>
      <c r="CR420" s="198"/>
      <c r="CS420" s="199"/>
      <c r="CT420" s="199"/>
    </row>
    <row r="421" spans="1:98" s="202" customFormat="1" ht="21" hidden="1" customHeight="1" x14ac:dyDescent="0.25">
      <c r="B421" s="344"/>
      <c r="C421" s="208" t="s">
        <v>277</v>
      </c>
      <c r="D421" s="344"/>
      <c r="E421" s="344"/>
      <c r="F421" s="344"/>
      <c r="G421" s="344"/>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2</v>
      </c>
      <c r="AX421" s="203">
        <f>COUNTIF($R$67,"D")+COUNTIF($R$70,"D")+COUNTIF($R$73,"D")+COUNTIF($R$76,"D")+COUNTIF($R$79,"D")+COUNTIF($R$82,"D")+COUNTIF($R$85,"D")+COUNTIF($R$88,"D")+COUNTIF($R$91,"D")+COUNTIF($R$67,"P-D")+COUNTIF($R$70,"P-D")+COUNTIF($R$73,"P-D")+COUNTIF($R$76,"P-D")+COUNTIF($R$79,"P-D")+COUNTIF($R$82,"P-D")+COUNTIF($R$85,"P-D")+COUNTIF($R$88,"P-D")+COUNTIF($R$91,"P-D")</f>
        <v>2</v>
      </c>
      <c r="AY421" s="203">
        <f>COUNTIF($R$67,"C")+COUNTIF($R$70,"C")+COUNTIF($R$73,"C")+COUNTIF($R$76,"C")+COUNTIF($R$79,"C")+COUNTIF($R$82,"C")+COUNTIF($R$85,"C")+COUNTIF($R$88,"C")+COUNTIF($R$91,"C")</f>
        <v>0</v>
      </c>
      <c r="AZ421" s="203" t="str">
        <f t="shared" si="4"/>
        <v>2E,2D,0C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340">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340">
        <f>$AL$21*COUNTIF($AI$19,"*op?ional*")+$AL$24*COUNTIF($AI$22,"*op?ional*")+$AL$27*COUNTIF($AI$25,"*op?ional*")+$AL$30*COUNTIF($AI$28,"*op?ional*")+$AL$33*COUNTIF($AI$31,"*op?ional*")+$AL$36*COUNTIF($AI$34,"*op?ional*")+$AL$39*COUNTIF($AI$37,"*op?ional*")+$AL$42*COUNTIF($AI$40,"*op?ional*")+$AL$54*COUNTIF($AI$43,"*op?ional*")+$AL$57*COUNTIF($AI$55,"*op?ional*")+$AL$61*COUNTIF($AI$58,"*op?ional*")</f>
        <v>0</v>
      </c>
      <c r="BK421" s="198"/>
      <c r="BL421" s="358">
        <f>$AL$21*COUNTIF($AI$19,"practic?*")+$AL$24*COUNTIF($AI$22,"practic?*")+$AL$27*COUNTIF($AI$25,"practic?*")+$AL$30*COUNTIF($AI$28,"practic?*")+$AL$33*COUNTIF($AI$31,"practic?*")+$AL$36*COUNTIF($AI$34,"practic?*")+$AL$39*COUNTIF($AI$37,"practic?*")+$AL$42*COUNTIF($AI$40,"practic?*")+$AL$54*COUNTIF($AI$43,"practic?*")+$AL$57*COUNTIF($AI$55,"practic?*")+$AL$61*COUNTIF($AI$58,"practic?*")</f>
        <v>0</v>
      </c>
      <c r="BM421" s="340">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340">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340">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219"/>
      <c r="CC421" s="219"/>
      <c r="CD421" s="219"/>
      <c r="CE421" s="219"/>
      <c r="CF421" s="198"/>
      <c r="CG421" s="199"/>
      <c r="CH421" s="199"/>
      <c r="CI421" s="199"/>
      <c r="CJ421" s="198"/>
      <c r="CK421" s="198"/>
      <c r="CL421" s="198"/>
      <c r="CM421" s="198"/>
      <c r="CN421" s="198"/>
      <c r="CO421" s="198"/>
      <c r="CP421" s="198"/>
      <c r="CQ421" s="198"/>
      <c r="CR421" s="198"/>
      <c r="CS421" s="199"/>
      <c r="CT421" s="199"/>
    </row>
    <row r="422" spans="1:98" s="202" customFormat="1" ht="21" hidden="1" customHeight="1" x14ac:dyDescent="0.2">
      <c r="B422" s="344"/>
      <c r="C422" s="208" t="s">
        <v>278</v>
      </c>
      <c r="D422" s="344"/>
      <c r="E422" s="344"/>
      <c r="F422" s="344"/>
      <c r="G422" s="344"/>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14</v>
      </c>
      <c r="AX422" s="198">
        <f>SUM(AX418:AX421)</f>
        <v>9</v>
      </c>
      <c r="AY422" s="198">
        <f>SUM(AY418:AY421)</f>
        <v>0</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4</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335"/>
      <c r="CC422" s="335"/>
      <c r="CD422" s="335"/>
      <c r="CE422" s="335"/>
      <c r="CF422" s="198"/>
      <c r="CG422" s="199"/>
      <c r="CH422" s="199"/>
      <c r="CI422" s="199"/>
      <c r="CJ422" s="198"/>
      <c r="CK422" s="198"/>
      <c r="CL422" s="198"/>
      <c r="CM422" s="198"/>
      <c r="CN422" s="198"/>
      <c r="CO422" s="198"/>
      <c r="CP422" s="198"/>
      <c r="CQ422" s="198"/>
      <c r="CR422" s="198"/>
      <c r="CS422" s="199"/>
      <c r="CT422" s="199"/>
    </row>
    <row r="423" spans="1:98"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335"/>
      <c r="CC423" s="335"/>
      <c r="CD423" s="335"/>
      <c r="CE423" s="335"/>
      <c r="CF423" s="198"/>
      <c r="CG423" s="199"/>
      <c r="CH423" s="199"/>
      <c r="CI423" s="199"/>
      <c r="CJ423" s="198"/>
      <c r="CK423" s="198"/>
      <c r="CL423" s="198"/>
      <c r="CM423" s="198"/>
      <c r="CN423" s="198"/>
      <c r="CO423" s="198"/>
      <c r="CP423" s="198"/>
      <c r="CQ423" s="198"/>
      <c r="CR423" s="198"/>
      <c r="CS423" s="199"/>
      <c r="CT423" s="199"/>
    </row>
    <row r="424" spans="1:98"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335"/>
      <c r="CC424" s="335"/>
      <c r="CD424" s="335"/>
      <c r="CE424" s="335"/>
      <c r="CF424" s="198"/>
      <c r="CG424" s="199"/>
      <c r="CH424" s="199"/>
      <c r="CI424" s="199"/>
      <c r="CJ424" s="198"/>
      <c r="CK424" s="198"/>
      <c r="CL424" s="198"/>
      <c r="CM424" s="198"/>
      <c r="CN424" s="198"/>
      <c r="CO424" s="198"/>
      <c r="CP424" s="198"/>
      <c r="CQ424" s="198"/>
      <c r="CR424" s="198"/>
      <c r="CS424" s="199"/>
      <c r="CT424" s="199"/>
    </row>
    <row r="425" spans="1:98"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502" t="s">
        <v>136</v>
      </c>
      <c r="AV425" s="502"/>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335"/>
      <c r="CC425" s="335"/>
      <c r="CD425" s="335"/>
      <c r="CE425" s="335"/>
      <c r="CF425" s="198"/>
      <c r="CG425" s="199"/>
      <c r="CH425" s="199"/>
      <c r="CI425" s="199"/>
      <c r="CJ425" s="198"/>
      <c r="CK425" s="198"/>
      <c r="CL425" s="198"/>
      <c r="CM425" s="198"/>
      <c r="CN425" s="198"/>
      <c r="CO425" s="198"/>
      <c r="CP425" s="198"/>
      <c r="CQ425" s="198"/>
      <c r="CR425" s="198"/>
      <c r="CS425" s="199"/>
      <c r="CT425" s="199"/>
    </row>
    <row r="426" spans="1:98"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335"/>
      <c r="CC426" s="335"/>
      <c r="CD426" s="335"/>
      <c r="CE426" s="335"/>
      <c r="CF426" s="198"/>
      <c r="CG426" s="199"/>
      <c r="CH426" s="199"/>
      <c r="CI426" s="199"/>
      <c r="CJ426" s="198"/>
      <c r="CK426" s="198"/>
      <c r="CL426" s="198"/>
      <c r="CM426" s="198"/>
      <c r="CN426" s="198"/>
      <c r="CO426" s="198"/>
      <c r="CP426" s="198"/>
      <c r="CQ426" s="198"/>
      <c r="CR426" s="198"/>
      <c r="CS426" s="199"/>
      <c r="CT426" s="199"/>
    </row>
    <row r="427" spans="1:98"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335"/>
      <c r="CC427" s="335"/>
      <c r="CD427" s="335"/>
      <c r="CE427" s="335"/>
      <c r="CF427" s="198"/>
      <c r="CG427" s="199"/>
      <c r="CH427" s="199"/>
      <c r="CI427" s="199"/>
      <c r="CJ427" s="198"/>
      <c r="CK427" s="198"/>
      <c r="CL427" s="198"/>
      <c r="CM427" s="198"/>
      <c r="CN427" s="198"/>
      <c r="CO427" s="198"/>
      <c r="CP427" s="198"/>
      <c r="CQ427" s="198"/>
      <c r="CR427" s="198"/>
      <c r="CS427" s="199"/>
      <c r="CT427" s="199"/>
    </row>
    <row r="428" spans="1:98"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335"/>
      <c r="CC428" s="335"/>
      <c r="CD428" s="335"/>
      <c r="CE428" s="335"/>
      <c r="CF428" s="198"/>
      <c r="CG428" s="199"/>
      <c r="CH428" s="199"/>
      <c r="CI428" s="199"/>
      <c r="CJ428" s="198"/>
      <c r="CK428" s="198"/>
      <c r="CL428" s="198"/>
      <c r="CM428" s="198"/>
      <c r="CN428" s="198"/>
      <c r="CO428" s="198"/>
      <c r="CP428" s="198"/>
      <c r="CQ428" s="198"/>
      <c r="CR428" s="198"/>
      <c r="CS428" s="199"/>
      <c r="CT428" s="199"/>
    </row>
    <row r="429" spans="1:98"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335"/>
      <c r="CC429" s="335"/>
      <c r="CD429" s="335"/>
      <c r="CE429" s="335"/>
      <c r="CF429" s="198"/>
      <c r="CG429" s="199"/>
      <c r="CH429" s="199"/>
      <c r="CI429" s="199"/>
      <c r="CJ429" s="198"/>
      <c r="CK429" s="198"/>
      <c r="CL429" s="198"/>
      <c r="CM429" s="198"/>
      <c r="CN429" s="198"/>
      <c r="CO429" s="198"/>
      <c r="CP429" s="198"/>
      <c r="CQ429" s="198"/>
      <c r="CR429" s="198"/>
      <c r="CS429" s="199"/>
      <c r="CT429" s="199"/>
    </row>
    <row r="430" spans="1:98"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335"/>
      <c r="CC430" s="335"/>
      <c r="CD430" s="335"/>
      <c r="CE430" s="335"/>
      <c r="CF430" s="198"/>
      <c r="CG430" s="199"/>
      <c r="CH430" s="199"/>
      <c r="CI430" s="199"/>
      <c r="CJ430" s="198"/>
      <c r="CK430" s="198"/>
      <c r="CL430" s="198"/>
      <c r="CM430" s="198"/>
      <c r="CN430" s="198"/>
      <c r="CO430" s="198"/>
      <c r="CP430" s="198"/>
      <c r="CQ430" s="198"/>
      <c r="CR430" s="198"/>
      <c r="CS430" s="199"/>
      <c r="CT430" s="199"/>
    </row>
    <row r="431" spans="1:98"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335"/>
      <c r="CC431" s="335"/>
      <c r="CD431" s="335"/>
      <c r="CE431" s="335"/>
      <c r="CF431" s="198"/>
      <c r="CG431" s="199"/>
      <c r="CH431" s="199"/>
      <c r="CI431" s="199"/>
      <c r="CJ431" s="198"/>
      <c r="CK431" s="198"/>
      <c r="CL431" s="198"/>
      <c r="CM431" s="198"/>
      <c r="CN431" s="198"/>
      <c r="CO431" s="198"/>
      <c r="CP431" s="198"/>
      <c r="CQ431" s="198"/>
      <c r="CR431" s="198"/>
      <c r="CS431" s="199"/>
      <c r="CT431" s="199"/>
    </row>
    <row r="432" spans="1:98"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335"/>
      <c r="CC432" s="335"/>
      <c r="CD432" s="335"/>
      <c r="CE432" s="335"/>
      <c r="CF432" s="198"/>
      <c r="CG432" s="199"/>
      <c r="CH432" s="199"/>
      <c r="CI432" s="199"/>
      <c r="CJ432" s="198"/>
      <c r="CK432" s="198"/>
      <c r="CL432" s="198"/>
      <c r="CM432" s="198"/>
      <c r="CN432" s="198"/>
      <c r="CO432" s="198"/>
      <c r="CP432" s="198"/>
      <c r="CQ432" s="198"/>
      <c r="CR432" s="198"/>
      <c r="CS432" s="199"/>
      <c r="CT432" s="199"/>
    </row>
    <row r="433" spans="2:98"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335"/>
      <c r="CC433" s="335"/>
      <c r="CD433" s="335"/>
      <c r="CE433" s="335"/>
      <c r="CF433" s="198"/>
      <c r="CG433" s="199"/>
      <c r="CH433" s="199"/>
      <c r="CI433" s="199"/>
      <c r="CJ433" s="198"/>
      <c r="CK433" s="198"/>
      <c r="CL433" s="198"/>
      <c r="CM433" s="198"/>
      <c r="CN433" s="198"/>
      <c r="CO433" s="198"/>
      <c r="CP433" s="198"/>
      <c r="CQ433" s="198"/>
      <c r="CR433" s="198"/>
      <c r="CS433" s="199"/>
      <c r="CT433" s="199"/>
    </row>
    <row r="434" spans="2:98"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335"/>
      <c r="CC434" s="335"/>
      <c r="CD434" s="335"/>
      <c r="CE434" s="335"/>
      <c r="CF434" s="198"/>
      <c r="CG434" s="199"/>
      <c r="CH434" s="199"/>
      <c r="CI434" s="199"/>
      <c r="CJ434" s="198"/>
      <c r="CK434" s="198"/>
      <c r="CL434" s="198"/>
      <c r="CM434" s="198"/>
      <c r="CN434" s="198"/>
      <c r="CO434" s="198"/>
      <c r="CP434" s="198"/>
      <c r="CQ434" s="198"/>
      <c r="CR434" s="198"/>
      <c r="CS434" s="199"/>
      <c r="CT434" s="199"/>
    </row>
    <row r="435" spans="2:98"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335"/>
      <c r="CC435" s="335"/>
      <c r="CD435" s="335"/>
      <c r="CE435" s="335"/>
      <c r="CF435" s="198"/>
      <c r="CG435" s="199"/>
      <c r="CH435" s="199"/>
      <c r="CI435" s="199"/>
      <c r="CJ435" s="198"/>
      <c r="CK435" s="198"/>
      <c r="CL435" s="198"/>
      <c r="CM435" s="198"/>
      <c r="CN435" s="198"/>
      <c r="CO435" s="198"/>
      <c r="CP435" s="198"/>
      <c r="CQ435" s="198"/>
      <c r="CR435" s="198"/>
      <c r="CS435" s="199"/>
      <c r="CT435" s="199"/>
    </row>
    <row r="436" spans="2:98"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335"/>
      <c r="CC436" s="335"/>
      <c r="CD436" s="335"/>
      <c r="CE436" s="335"/>
      <c r="CF436" s="198"/>
      <c r="CG436" s="199"/>
      <c r="CH436" s="199"/>
      <c r="CI436" s="199"/>
      <c r="CJ436" s="198"/>
      <c r="CK436" s="198"/>
      <c r="CL436" s="198"/>
      <c r="CM436" s="198"/>
      <c r="CN436" s="198"/>
      <c r="CO436" s="198"/>
      <c r="CP436" s="198"/>
      <c r="CQ436" s="198"/>
      <c r="CR436" s="198"/>
      <c r="CS436" s="199"/>
      <c r="CT436" s="199"/>
    </row>
    <row r="437" spans="2:98"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216</v>
      </c>
      <c r="AU437" s="202" t="s">
        <v>217</v>
      </c>
      <c r="AV437" s="198"/>
      <c r="AW437" s="198"/>
      <c r="AX437" s="198"/>
      <c r="AY437" s="198"/>
      <c r="AZ437" s="198"/>
      <c r="BA437" s="497" t="s">
        <v>216</v>
      </c>
      <c r="BB437" s="497"/>
      <c r="BC437" s="497"/>
      <c r="BD437" s="497"/>
      <c r="BE437" s="199"/>
      <c r="BF437" s="199"/>
      <c r="BG437" s="202" t="s">
        <v>219</v>
      </c>
      <c r="BH437" s="198"/>
      <c r="BI437" s="198"/>
      <c r="BJ437" s="198"/>
      <c r="BK437" s="198"/>
      <c r="BL437" s="198"/>
      <c r="BM437" s="497" t="s">
        <v>216</v>
      </c>
      <c r="BN437" s="497"/>
      <c r="BO437" s="497"/>
      <c r="BP437" s="497"/>
      <c r="BQ437" s="199"/>
      <c r="BR437" s="202" t="s">
        <v>266</v>
      </c>
      <c r="BS437" s="198"/>
      <c r="BT437" s="198"/>
      <c r="BU437" s="198"/>
      <c r="BV437" s="198"/>
      <c r="BW437" s="198"/>
      <c r="BX437" s="497" t="s">
        <v>216</v>
      </c>
      <c r="BY437" s="497"/>
      <c r="BZ437" s="497"/>
      <c r="CA437" s="497"/>
      <c r="CB437" s="497" t="s">
        <v>220</v>
      </c>
      <c r="CC437" s="497"/>
      <c r="CD437" s="497"/>
      <c r="CE437" s="497"/>
      <c r="CF437" s="198"/>
      <c r="CG437" s="202" t="s">
        <v>221</v>
      </c>
      <c r="CH437" s="198"/>
      <c r="CI437" s="198"/>
      <c r="CJ437" s="198"/>
      <c r="CK437" s="198"/>
      <c r="CL437" s="198"/>
      <c r="CM437" s="497" t="s">
        <v>216</v>
      </c>
      <c r="CN437" s="497"/>
      <c r="CO437" s="497"/>
      <c r="CP437" s="497"/>
      <c r="CQ437" s="497" t="s">
        <v>220</v>
      </c>
      <c r="CR437" s="497"/>
      <c r="CS437" s="497"/>
      <c r="CT437" s="497"/>
    </row>
    <row r="438" spans="2:98"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213">
        <v>1</v>
      </c>
      <c r="CC438" s="213">
        <v>2</v>
      </c>
      <c r="CD438" s="213">
        <v>3</v>
      </c>
      <c r="CE438" s="213">
        <v>4</v>
      </c>
      <c r="CF438" s="198"/>
      <c r="CG438" s="209" t="s">
        <v>155</v>
      </c>
      <c r="CH438" s="203">
        <v>1</v>
      </c>
      <c r="CI438" s="203">
        <v>2</v>
      </c>
      <c r="CJ438" s="203">
        <v>3</v>
      </c>
      <c r="CK438" s="203">
        <v>4</v>
      </c>
      <c r="CL438" s="203"/>
      <c r="CM438" s="213">
        <v>1</v>
      </c>
      <c r="CN438" s="213">
        <v>2</v>
      </c>
      <c r="CO438" s="213">
        <v>3</v>
      </c>
      <c r="CP438" s="213">
        <v>4</v>
      </c>
      <c r="CQ438" s="213">
        <v>1</v>
      </c>
      <c r="CR438" s="213">
        <v>2</v>
      </c>
      <c r="CS438" s="213">
        <v>3</v>
      </c>
      <c r="CT438" s="213">
        <v>4</v>
      </c>
    </row>
    <row r="439" spans="2:98"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Practică profesională 2</v>
      </c>
      <c r="AZ439" s="203"/>
      <c r="BA439" s="213" t="str">
        <f>IF(AV439="","",K25)</f>
        <v/>
      </c>
      <c r="BB439" s="213" t="str">
        <f>IF(AW439="","",W25)</f>
        <v/>
      </c>
      <c r="BC439" s="213" t="str">
        <f>IF(AX439="","",K67)</f>
        <v/>
      </c>
      <c r="BD439" s="213">
        <f>IF(AY439="","",W67)</f>
        <v>100</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IF(COUNTIFS($B23,"=elab*"),$B23,"")</f>
        <v/>
      </c>
      <c r="BT439" s="203" t="str">
        <f>IF(COUNTIFS($N23,"=elab*"),$N23,"")</f>
        <v/>
      </c>
      <c r="BU439" s="203" t="str">
        <f>IF(COUNTIFS($B65,"=elab*"),$B65,"")</f>
        <v/>
      </c>
      <c r="BV439" s="203" t="str">
        <f>IF(COUNTIFS($N65,"=elab*"),$N65,"")</f>
        <v/>
      </c>
      <c r="BW439" s="203"/>
      <c r="BX439" s="213" t="str">
        <f>IF(BS439="","",K25)</f>
        <v/>
      </c>
      <c r="BY439" s="213" t="str">
        <f>IF(BT439="","",W25)</f>
        <v/>
      </c>
      <c r="BZ439" s="213" t="str">
        <f>IF(BU439="","",K67)</f>
        <v/>
      </c>
      <c r="CA439" s="213" t="str">
        <f>IF(BV439="","",W67)</f>
        <v/>
      </c>
      <c r="CB439" s="213" t="str">
        <f>IF(BS439="","",B25)</f>
        <v/>
      </c>
      <c r="CC439" s="213" t="str">
        <f>IF(BT439="","",Q25)</f>
        <v/>
      </c>
      <c r="CD439" s="213" t="str">
        <f>IF(BU439="","",B67)</f>
        <v/>
      </c>
      <c r="CE439" s="213" t="str">
        <f>IF(BV439="","",Q67)</f>
        <v/>
      </c>
      <c r="CF439" s="198"/>
      <c r="CG439" s="209"/>
      <c r="CH439" s="203" t="str">
        <f>IF(COUNTIFS($B23,"=examen de di*"),$B23,"")</f>
        <v/>
      </c>
      <c r="CI439" s="203" t="str">
        <f>IF(COUNTIFS($N23,"=examen de di*"),$N23,"")</f>
        <v/>
      </c>
      <c r="CJ439" s="203" t="str">
        <f>IF(COUNTIFS($B65,"=examen de di*"),$B65,"")</f>
        <v/>
      </c>
      <c r="CK439" s="203" t="str">
        <f>IF(COUNTIFS($N65,"=examen de di*"),$N65,"")</f>
        <v/>
      </c>
      <c r="CL439" s="203"/>
      <c r="CM439" s="213" t="str">
        <f>IF(CH439="","",E25)</f>
        <v/>
      </c>
      <c r="CN439" s="213" t="str">
        <f>IF(CI439="","",W25)</f>
        <v/>
      </c>
      <c r="CO439" s="213" t="str">
        <f>IF(CJ439="","",E67)</f>
        <v/>
      </c>
      <c r="CP439" s="213" t="str">
        <f>IF(CK439="","",W67)</f>
        <v/>
      </c>
      <c r="CQ439" s="213" t="str">
        <f>IF(CH439="","",E25)</f>
        <v/>
      </c>
      <c r="CR439" s="213" t="str">
        <f>IF(CI439="","",Q25)</f>
        <v/>
      </c>
      <c r="CS439" s="213" t="str">
        <f>IF(CJ439="","",E67)</f>
        <v/>
      </c>
      <c r="CT439" s="213" t="str">
        <f>IF(CK439="","",Q67)</f>
        <v/>
      </c>
    </row>
    <row r="440" spans="2:98"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IF(COUNTIFS($B26,"=elab*"),$B26,"")</f>
        <v/>
      </c>
      <c r="BT440" s="203" t="str">
        <f>IF(COUNTIFS($N26,"=elab*"),$N26,"")</f>
        <v/>
      </c>
      <c r="BU440" s="203" t="str">
        <f>IF(COUNTIFS($B68,"=elab*"),$B68,"")</f>
        <v/>
      </c>
      <c r="BV440" s="203" t="str">
        <f>IF(COUNTIFS($N68,"=elab*"),$N68,"")</f>
        <v/>
      </c>
      <c r="BW440" s="203"/>
      <c r="BX440" s="213" t="str">
        <f>IF(BS440="","",K28)</f>
        <v/>
      </c>
      <c r="BY440" s="213" t="str">
        <f>IF(BT440="","",W28)</f>
        <v/>
      </c>
      <c r="BZ440" s="213" t="str">
        <f>IF(BU440="","",K70)</f>
        <v/>
      </c>
      <c r="CA440" s="213" t="str">
        <f>IF(BV440="","",W70)</f>
        <v/>
      </c>
      <c r="CB440" s="213" t="str">
        <f>IF(BS440="","",B28)</f>
        <v/>
      </c>
      <c r="CC440" s="213" t="str">
        <f>IF(BT440="","",Q28)</f>
        <v/>
      </c>
      <c r="CD440" s="213" t="str">
        <f>IF(BU440="","",B70)</f>
        <v/>
      </c>
      <c r="CE440" s="213" t="str">
        <f>IF(BV440="","",Q70)</f>
        <v/>
      </c>
      <c r="CF440" s="198"/>
      <c r="CG440" s="209"/>
      <c r="CH440" s="203" t="str">
        <f>IF(COUNTIFS($B26,"=examen de di*"),$B26,"")</f>
        <v/>
      </c>
      <c r="CI440" s="203" t="str">
        <f>IF(COUNTIFS($N26,"=examen de di*"),$N26,"")</f>
        <v/>
      </c>
      <c r="CJ440" s="203" t="str">
        <f>IF(COUNTIFS($B68,"=examen de di*"),$B68,"")</f>
        <v/>
      </c>
      <c r="CK440" s="203" t="str">
        <f>IF(COUNTIFS($N68,"=examen de di*"),$N68,"")</f>
        <v/>
      </c>
      <c r="CL440" s="203"/>
      <c r="CM440" s="213" t="str">
        <f>IF(CH440="","",E28)</f>
        <v/>
      </c>
      <c r="CN440" s="213" t="str">
        <f>IF(CI440="","",W28)</f>
        <v/>
      </c>
      <c r="CO440" s="213" t="str">
        <f>IF(CJ440="","",E70)</f>
        <v/>
      </c>
      <c r="CP440" s="213" t="str">
        <f>IF(CK440="","",W70)</f>
        <v/>
      </c>
      <c r="CQ440" s="213" t="str">
        <f>IF(CH440="","",E28)</f>
        <v/>
      </c>
      <c r="CR440" s="213" t="str">
        <f>IF(CI440="","",Q28)</f>
        <v/>
      </c>
      <c r="CS440" s="213" t="str">
        <f>IF(CJ440="","",E70)</f>
        <v/>
      </c>
      <c r="CT440" s="213" t="str">
        <f>IF(CK440="","",Q70)</f>
        <v/>
      </c>
    </row>
    <row r="441" spans="2:98"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IF(COUNTIFS($B29,"=elab*"),$B29,"")</f>
        <v/>
      </c>
      <c r="BT441" s="203" t="str">
        <f>IF(COUNTIFS($N29,"=elab*"),$N29,"")</f>
        <v/>
      </c>
      <c r="BU441" s="203" t="str">
        <f>IF(COUNTIFS($B71,"=elab*"),$B71,"")</f>
        <v/>
      </c>
      <c r="BV441" s="203" t="str">
        <f>IF(COUNTIFS($N71,"=elab*"),$N71,"")</f>
        <v/>
      </c>
      <c r="BW441" s="203"/>
      <c r="BX441" s="213" t="str">
        <f>IF(BS441="","",K31)</f>
        <v/>
      </c>
      <c r="BY441" s="213" t="str">
        <f>IF(BT441="","",W31)</f>
        <v/>
      </c>
      <c r="BZ441" s="213" t="str">
        <f>IF(BU441="","",K73)</f>
        <v/>
      </c>
      <c r="CA441" s="213" t="str">
        <f>IF(BV441="","",W73)</f>
        <v/>
      </c>
      <c r="CB441" s="213" t="str">
        <f>IF(BS441="","",B31)</f>
        <v/>
      </c>
      <c r="CC441" s="213" t="str">
        <f>IF(BT441="","",Q31)</f>
        <v/>
      </c>
      <c r="CD441" s="213" t="str">
        <f>IF(BU441="","",B73)</f>
        <v/>
      </c>
      <c r="CE441" s="213" t="str">
        <f>IF(BV441="","",Q73)</f>
        <v/>
      </c>
      <c r="CF441" s="198"/>
      <c r="CG441" s="209"/>
      <c r="CH441" s="203" t="str">
        <f>IF(COUNTIFS($B29,"=examen de di*"),$B29,"")</f>
        <v/>
      </c>
      <c r="CI441" s="203" t="str">
        <f>IF(COUNTIFS($N29,"=examen de di*"),$N29,"")</f>
        <v/>
      </c>
      <c r="CJ441" s="203" t="str">
        <f>IF(COUNTIFS($B71,"=examen de di*"),$B71,"")</f>
        <v/>
      </c>
      <c r="CK441" s="203" t="str">
        <f>IF(COUNTIFS($N71,"=examen de di*"),$N71,"")</f>
        <v/>
      </c>
      <c r="CL441" s="203"/>
      <c r="CM441" s="213" t="str">
        <f>IF(CH441="","",E31)</f>
        <v/>
      </c>
      <c r="CN441" s="213" t="str">
        <f>IF(CI441="","",W31)</f>
        <v/>
      </c>
      <c r="CO441" s="213" t="str">
        <f>IF(CJ441="","",E73)</f>
        <v/>
      </c>
      <c r="CP441" s="213" t="str">
        <f>IF(CK441="","",W73)</f>
        <v/>
      </c>
      <c r="CQ441" s="213" t="str">
        <f>IF(CH441="","",E31)</f>
        <v/>
      </c>
      <c r="CR441" s="213" t="str">
        <f>IF(CI441="","",Q31)</f>
        <v/>
      </c>
      <c r="CS441" s="213" t="str">
        <f>IF(CJ441="","",E73)</f>
        <v/>
      </c>
      <c r="CT441" s="213" t="str">
        <f>IF(CK441="","",Q73)</f>
        <v/>
      </c>
    </row>
    <row r="442" spans="2:98"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IF(COUNTIFS($B32,"=elab*"),$B32,"")</f>
        <v/>
      </c>
      <c r="BT442" s="203" t="str">
        <f>IF(COUNTIFS($N32,"=elab*"),$N32,"")</f>
        <v/>
      </c>
      <c r="BU442" s="203" t="str">
        <f>IF(COUNTIFS($B74,"=elab*"),$B74,"")</f>
        <v/>
      </c>
      <c r="BV442" s="203" t="str">
        <f>IF(COUNTIFS($N74,"=elab*"),$N74,"")</f>
        <v>Elaborare lucrare de disertaţie</v>
      </c>
      <c r="BW442" s="203"/>
      <c r="BX442" s="213" t="str">
        <f>IF(BS442="","",K34)</f>
        <v/>
      </c>
      <c r="BY442" s="213" t="str">
        <f>IF(BT442="","",W34)</f>
        <v/>
      </c>
      <c r="BZ442" s="213" t="str">
        <f>IF(BU442="","",K76)</f>
        <v/>
      </c>
      <c r="CA442" s="213">
        <f>IF(BV442="","",W76)</f>
        <v>28</v>
      </c>
      <c r="CB442" s="213" t="str">
        <f>IF(BS442="","",B34)</f>
        <v/>
      </c>
      <c r="CC442" s="213" t="str">
        <f>IF(BT442="","",Q34)</f>
        <v/>
      </c>
      <c r="CD442" s="213" t="str">
        <f>IF(BU442="","",B76)</f>
        <v/>
      </c>
      <c r="CE442" s="213">
        <f>IF(BV442="","",Q76)</f>
        <v>14</v>
      </c>
      <c r="CF442" s="198"/>
      <c r="CG442" s="209"/>
      <c r="CH442" s="203" t="str">
        <f>IF(COUNTIFS($B32,"=examen de di*"),$B32,"")</f>
        <v/>
      </c>
      <c r="CI442" s="203" t="str">
        <f>IF(COUNTIFS($N32,"=examen de di*"),$N32,"")</f>
        <v/>
      </c>
      <c r="CJ442" s="203" t="str">
        <f>IF(COUNTIFS($B74,"=examen de di*"),$B74,"")</f>
        <v/>
      </c>
      <c r="CK442" s="203" t="str">
        <f>IF(COUNTIFS($N74,"=examen de di*"),$N74,"")</f>
        <v/>
      </c>
      <c r="CL442" s="203"/>
      <c r="CM442" s="213" t="str">
        <f>IF(CH442="","",E34)</f>
        <v/>
      </c>
      <c r="CN442" s="213" t="str">
        <f>IF(CI442="","",W34)</f>
        <v/>
      </c>
      <c r="CO442" s="213" t="str">
        <f>IF(CJ442="","",E76)</f>
        <v/>
      </c>
      <c r="CP442" s="213" t="str">
        <f>IF(CK442="","",W76)</f>
        <v/>
      </c>
      <c r="CQ442" s="213" t="str">
        <f>IF(CH442="","",E34)</f>
        <v/>
      </c>
      <c r="CR442" s="213" t="str">
        <f>IF(CI442="","",Q34)</f>
        <v/>
      </c>
      <c r="CS442" s="213" t="str">
        <f>IF(CJ442="","",E76)</f>
        <v/>
      </c>
      <c r="CT442" s="213" t="str">
        <f>IF(CK442="","",Q76)</f>
        <v/>
      </c>
    </row>
    <row r="443" spans="2:98"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
      </c>
      <c r="AX443" s="203" t="str">
        <f>IF(COUNTIFS($B77,"=practic?*profes*"),$B77,"")</f>
        <v/>
      </c>
      <c r="AY443" s="203" t="str">
        <f>IF(COUNTIFS($N77,"=practic?*profes*"),$N77,"")</f>
        <v/>
      </c>
      <c r="AZ443" s="203"/>
      <c r="BA443" s="213" t="str">
        <f>IF(AV443="","",K37)</f>
        <v/>
      </c>
      <c r="BB443" s="213" t="str">
        <f>IF(AW443="","",W37)</f>
        <v/>
      </c>
      <c r="BC443" s="213" t="str">
        <f>IF(AX443="","",K79)</f>
        <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IF(COUNTIFS($B35,"=elab*"),$B35,"")</f>
        <v/>
      </c>
      <c r="BT443" s="203" t="str">
        <f>IF(COUNTIFS($N35,"=elab*"),$N35,"")</f>
        <v/>
      </c>
      <c r="BU443" s="203" t="str">
        <f>IF(COUNTIFS($B77,"=elab*"),$B77,"")</f>
        <v/>
      </c>
      <c r="BV443" s="203" t="str">
        <f>IF(COUNTIFS($N77,"=elab*"),$N77,"")</f>
        <v/>
      </c>
      <c r="BW443" s="203"/>
      <c r="BX443" s="213" t="str">
        <f>IF(BS443="","",K37)</f>
        <v/>
      </c>
      <c r="BY443" s="213" t="str">
        <f>IF(BT443="","",W37)</f>
        <v/>
      </c>
      <c r="BZ443" s="213" t="str">
        <f>IF(BU443="","",K79)</f>
        <v/>
      </c>
      <c r="CA443" s="213" t="str">
        <f>IF(BV443="","",W79)</f>
        <v/>
      </c>
      <c r="CB443" s="213" t="str">
        <f>IF(BS443="","",B37)</f>
        <v/>
      </c>
      <c r="CC443" s="213" t="str">
        <f>IF(BT443="","",Q37)</f>
        <v/>
      </c>
      <c r="CD443" s="213" t="str">
        <f>IF(BU443="","",B79)</f>
        <v/>
      </c>
      <c r="CE443" s="213" t="str">
        <f>IF(BV443="","",Q79)</f>
        <v/>
      </c>
      <c r="CF443" s="198"/>
      <c r="CG443" s="209"/>
      <c r="CH443" s="203" t="str">
        <f>IF(COUNTIFS($B35,"=examen de di*"),$B35,"")</f>
        <v/>
      </c>
      <c r="CI443" s="203" t="str">
        <f>IF(COUNTIFS($N35,"=examen de di*"),$N35,"")</f>
        <v/>
      </c>
      <c r="CJ443" s="203" t="str">
        <f>IF(COUNTIFS($B77,"=examen de di*"),$B77,"")</f>
        <v/>
      </c>
      <c r="CK443" s="203" t="str">
        <f>IF(COUNTIFS($N77,"=examen de di*"),$N77,"")</f>
        <v xml:space="preserve">Examen de disertaţie                     </v>
      </c>
      <c r="CL443" s="203"/>
      <c r="CM443" s="213" t="str">
        <f>IF(CH443="","",E37)</f>
        <v/>
      </c>
      <c r="CN443" s="213" t="str">
        <f>IF(CI443="","",W37)</f>
        <v/>
      </c>
      <c r="CO443" s="213" t="str">
        <f>IF(CJ443="","",E79)</f>
        <v/>
      </c>
      <c r="CP443" s="213">
        <f>IF(CK443="","",W79)</f>
        <v>0</v>
      </c>
      <c r="CQ443" s="213" t="str">
        <f>IF(CH443="","",E37)</f>
        <v/>
      </c>
      <c r="CR443" s="213" t="str">
        <f>IF(CI443="","",Q37)</f>
        <v/>
      </c>
      <c r="CS443" s="213" t="str">
        <f>IF(CJ443="","",E79)</f>
        <v/>
      </c>
      <c r="CT443" s="213">
        <f>IF(CK443="","",Q79)</f>
        <v>10</v>
      </c>
    </row>
    <row r="444" spans="2:98"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IF(COUNTIFS($B38,"=elab*"),$B38,"")</f>
        <v/>
      </c>
      <c r="BT444" s="203" t="str">
        <f>IF(COUNTIFS($N38,"=elab*"),$N38,"")</f>
        <v/>
      </c>
      <c r="BU444" s="203" t="str">
        <f>IF(COUNTIFS($B80,"=elab*"),$B80,"")</f>
        <v/>
      </c>
      <c r="BV444" s="203" t="str">
        <f>IF(COUNTIFS($N80,"=elab*"),$N80,"")</f>
        <v/>
      </c>
      <c r="BW444" s="203"/>
      <c r="BX444" s="213" t="str">
        <f>IF(BS444="","",K40)</f>
        <v/>
      </c>
      <c r="BY444" s="213" t="str">
        <f>IF(BT444="","",W40)</f>
        <v/>
      </c>
      <c r="BZ444" s="213" t="str">
        <f>IF(BU444="","",K82)</f>
        <v/>
      </c>
      <c r="CA444" s="213" t="str">
        <f>IF(BV444="","",W82)</f>
        <v/>
      </c>
      <c r="CB444" s="213" t="str">
        <f>IF(BS444="","",B40)</f>
        <v/>
      </c>
      <c r="CC444" s="213" t="str">
        <f>IF(BT444="","",Q40)</f>
        <v/>
      </c>
      <c r="CD444" s="213" t="str">
        <f>IF(BU444="","",B82)</f>
        <v/>
      </c>
      <c r="CE444" s="213" t="str">
        <f>IF(BV444="","",Q82)</f>
        <v/>
      </c>
      <c r="CF444" s="198"/>
      <c r="CG444" s="209"/>
      <c r="CH444" s="203" t="str">
        <f>IF(COUNTIFS($B38,"=examen de di*"),$B38,"")</f>
        <v/>
      </c>
      <c r="CI444" s="203" t="str">
        <f>IF(COUNTIFS($N38,"=examen de di*"),$N38,"")</f>
        <v/>
      </c>
      <c r="CJ444" s="203" t="str">
        <f>IF(COUNTIFS($B80,"=examen de di*"),$B80,"")</f>
        <v/>
      </c>
      <c r="CK444" s="203" t="str">
        <f>IF(COUNTIFS($N80,"=examen de di*"),$N80,"")</f>
        <v/>
      </c>
      <c r="CL444" s="203"/>
      <c r="CM444" s="213" t="str">
        <f>IF(CH444="","",E40)</f>
        <v/>
      </c>
      <c r="CN444" s="213" t="str">
        <f>IF(CI444="","",W40)</f>
        <v/>
      </c>
      <c r="CO444" s="213" t="str">
        <f>IF(CJ444="","",E82)</f>
        <v/>
      </c>
      <c r="CP444" s="213" t="str">
        <f>IF(CK444="","",W82)</f>
        <v/>
      </c>
      <c r="CQ444" s="213" t="str">
        <f>IF(CH444="","",E40)</f>
        <v/>
      </c>
      <c r="CR444" s="213" t="str">
        <f>IF(CI444="","",Q40)</f>
        <v/>
      </c>
      <c r="CS444" s="213" t="str">
        <f>IF(CJ444="","",E82)</f>
        <v/>
      </c>
      <c r="CT444" s="213" t="str">
        <f>IF(CK444="","",Q82)</f>
        <v/>
      </c>
    </row>
    <row r="445" spans="2:98"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Practică profesională 1</v>
      </c>
      <c r="AX445" s="203" t="str">
        <f>IF(COUNTIFS($B83,"=practic?*profes*"),$B83,"")</f>
        <v/>
      </c>
      <c r="AY445" s="203" t="str">
        <f>IF(COUNTIFS($N83,"=practic?*profes*"),$N83,"")</f>
        <v/>
      </c>
      <c r="AZ445" s="203"/>
      <c r="BA445" s="213" t="str">
        <f>IF(AV445="","",K43)</f>
        <v/>
      </c>
      <c r="BB445" s="213">
        <f>IF(AW445="","",W43)</f>
        <v>100</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IF(COUNTIFS($B41,"=elab*"),$B41,"")</f>
        <v/>
      </c>
      <c r="BT445" s="203" t="str">
        <f>IF(COUNTIFS($N41,"=elab*"),$N41,"")</f>
        <v/>
      </c>
      <c r="BU445" s="203" t="str">
        <f>IF(COUNTIFS($B83,"=elab*"),$B83,"")</f>
        <v/>
      </c>
      <c r="BV445" s="203" t="str">
        <f>IF(COUNTIFS($N83,"=elab*"),$N83,"")</f>
        <v/>
      </c>
      <c r="BW445" s="203"/>
      <c r="BX445" s="213" t="str">
        <f>IF(BS445="","",K43)</f>
        <v/>
      </c>
      <c r="BY445" s="213" t="str">
        <f>IF(BT445="","",W43)</f>
        <v/>
      </c>
      <c r="BZ445" s="213" t="str">
        <f>IF(BU445="","",K85)</f>
        <v/>
      </c>
      <c r="CA445" s="213" t="str">
        <f>IF(BV445="","",W85)</f>
        <v/>
      </c>
      <c r="CB445" s="213" t="str">
        <f>IF(BS445="","",B43)</f>
        <v/>
      </c>
      <c r="CC445" s="213" t="str">
        <f>IF(BT445="","",Q43)</f>
        <v/>
      </c>
      <c r="CD445" s="213" t="str">
        <f>IF(BU445="","",B85)</f>
        <v/>
      </c>
      <c r="CE445" s="213" t="str">
        <f>IF(BV445="","",Q85)</f>
        <v/>
      </c>
      <c r="CF445" s="198"/>
      <c r="CG445" s="209"/>
      <c r="CH445" s="203" t="str">
        <f>IF(COUNTIFS($B41,"=examen de di*"),$B41,"")</f>
        <v/>
      </c>
      <c r="CI445" s="203" t="str">
        <f>IF(COUNTIFS($N41,"=examen de di*"),$N41,"")</f>
        <v/>
      </c>
      <c r="CJ445" s="203" t="str">
        <f>IF(COUNTIFS($B83,"=examen de di*"),$B83,"")</f>
        <v/>
      </c>
      <c r="CK445" s="203" t="str">
        <f>IF(COUNTIFS($N83,"=examen de di*"),$N83,"")</f>
        <v/>
      </c>
      <c r="CL445" s="203"/>
      <c r="CM445" s="213" t="str">
        <f>IF(CH445="","",E43)</f>
        <v/>
      </c>
      <c r="CN445" s="213" t="str">
        <f>IF(CI445="","",W43)</f>
        <v/>
      </c>
      <c r="CO445" s="213" t="str">
        <f>IF(CJ445="","",E85)</f>
        <v/>
      </c>
      <c r="CP445" s="213" t="str">
        <f>IF(CK445="","",W85)</f>
        <v/>
      </c>
      <c r="CQ445" s="213" t="str">
        <f>IF(CH445="","",E43)</f>
        <v/>
      </c>
      <c r="CR445" s="213" t="str">
        <f>IF(CI445="","",Q43)</f>
        <v/>
      </c>
      <c r="CS445" s="213" t="str">
        <f>IF(CJ445="","",E85)</f>
        <v/>
      </c>
      <c r="CT445" s="213" t="str">
        <f>IF(CK445="","",Q85)</f>
        <v/>
      </c>
    </row>
    <row r="446" spans="2:98"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IF(COUNTIFS($B44,"=elab*"),$B44,"")</f>
        <v/>
      </c>
      <c r="BT446" s="203" t="str">
        <f>IF(COUNTIFS($N44,"=elab*"),$N44,"")</f>
        <v/>
      </c>
      <c r="BU446" s="203" t="str">
        <f>IF(COUNTIFS($B86,"=elab*"),$B86,"")</f>
        <v/>
      </c>
      <c r="BV446" s="203" t="str">
        <f>IF(COUNTIFS($N86,"=elab*"),$N86,"")</f>
        <v/>
      </c>
      <c r="BW446" s="203"/>
      <c r="BX446" s="213" t="str">
        <f>IF(BS446="","",K43)</f>
        <v/>
      </c>
      <c r="BY446" s="213" t="str">
        <f>IF(BT446="","",W43)</f>
        <v/>
      </c>
      <c r="BZ446" s="213" t="str">
        <f>IF(BU446="","",K88)</f>
        <v/>
      </c>
      <c r="CA446" s="213" t="str">
        <f>IF(BV446="","",W88)</f>
        <v/>
      </c>
      <c r="CB446" s="213" t="str">
        <f>IF(BS446="","",B43)</f>
        <v/>
      </c>
      <c r="CC446" s="213" t="str">
        <f>IF(BT446="","",Q43)</f>
        <v/>
      </c>
      <c r="CD446" s="213" t="str">
        <f>IF(BU446="","",B88)</f>
        <v/>
      </c>
      <c r="CE446" s="213" t="str">
        <f>IF(BV446="","",Q88)</f>
        <v/>
      </c>
      <c r="CF446" s="198"/>
      <c r="CG446" s="209"/>
      <c r="CH446" s="203" t="str">
        <f>IF(COUNTIFS($B44,"=examen de di*"),$B44,"")</f>
        <v/>
      </c>
      <c r="CI446" s="203" t="str">
        <f>IF(COUNTIFS($N44,"=examen de di*"),$N44,"")</f>
        <v/>
      </c>
      <c r="CJ446" s="203" t="str">
        <f>IF(COUNTIFS($B86,"=examen de di*"),$B86,"")</f>
        <v/>
      </c>
      <c r="CK446" s="203" t="str">
        <f>IF(COUNTIFS($N86,"=examen de di*"),$N86,"")</f>
        <v/>
      </c>
      <c r="CL446" s="203"/>
      <c r="CM446" s="213" t="str">
        <f>IF(CH446="","",E43)</f>
        <v/>
      </c>
      <c r="CN446" s="213" t="str">
        <f>IF(CI446="","",W43)</f>
        <v/>
      </c>
      <c r="CO446" s="213" t="str">
        <f>IF(CJ446="","",E88)</f>
        <v/>
      </c>
      <c r="CP446" s="213" t="str">
        <f>IF(CK446="","",W88)</f>
        <v/>
      </c>
      <c r="CQ446" s="213" t="str">
        <f>IF(CH446="","",E43)</f>
        <v/>
      </c>
      <c r="CR446" s="213" t="str">
        <f>IF(CI446="","",Q43)</f>
        <v/>
      </c>
      <c r="CS446" s="213" t="str">
        <f>IF(CJ446="","",E88)</f>
        <v/>
      </c>
      <c r="CT446" s="213" t="str">
        <f>IF(CK446="","",Q88)</f>
        <v/>
      </c>
    </row>
    <row r="447" spans="2:98"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213"/>
      <c r="CC447" s="213"/>
      <c r="CD447" s="213"/>
      <c r="CE447" s="213"/>
      <c r="CF447" s="198"/>
      <c r="CG447" s="209"/>
      <c r="CH447" s="209"/>
      <c r="CI447" s="209"/>
      <c r="CJ447" s="209"/>
      <c r="CK447" s="209"/>
      <c r="CL447" s="203"/>
      <c r="CM447" s="213"/>
      <c r="CN447" s="213"/>
      <c r="CO447" s="213"/>
      <c r="CP447" s="213"/>
      <c r="CQ447" s="213"/>
      <c r="CR447" s="213"/>
      <c r="CS447" s="213"/>
      <c r="CT447" s="213"/>
    </row>
    <row r="448" spans="2:98"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98" t="s">
        <v>218</v>
      </c>
      <c r="AV448" s="499"/>
      <c r="AW448" s="499"/>
      <c r="AX448" s="499"/>
      <c r="AY448" s="500"/>
      <c r="AZ448" s="203"/>
      <c r="BA448" s="213">
        <f>SUM(BA439:BA447)</f>
        <v>0</v>
      </c>
      <c r="BB448" s="213">
        <f t="shared" ref="BB448:BD448" si="7">SUM(BB439:BB447)</f>
        <v>100</v>
      </c>
      <c r="BC448" s="213">
        <f t="shared" si="7"/>
        <v>0</v>
      </c>
      <c r="BD448" s="213">
        <f t="shared" si="7"/>
        <v>100</v>
      </c>
      <c r="BE448" s="199"/>
      <c r="BF448" s="199"/>
      <c r="BG448" s="498" t="s">
        <v>218</v>
      </c>
      <c r="BH448" s="499"/>
      <c r="BI448" s="499"/>
      <c r="BJ448" s="499"/>
      <c r="BK448" s="500"/>
      <c r="BL448" s="203"/>
      <c r="BM448" s="213">
        <f>SUM(BM439:BM447)</f>
        <v>0</v>
      </c>
      <c r="BN448" s="213">
        <f t="shared" ref="BN448" si="8">SUM(BN439:BN447)</f>
        <v>0</v>
      </c>
      <c r="BO448" s="213">
        <f t="shared" ref="BO448" si="9">SUM(BO439:BO447)</f>
        <v>0</v>
      </c>
      <c r="BP448" s="213">
        <f t="shared" ref="BP448" si="10">SUM(BP439:BP447)</f>
        <v>0</v>
      </c>
      <c r="BQ448" s="199"/>
      <c r="BR448" s="498" t="s">
        <v>218</v>
      </c>
      <c r="BS448" s="499"/>
      <c r="BT448" s="499"/>
      <c r="BU448" s="499"/>
      <c r="BV448" s="500"/>
      <c r="BW448" s="203"/>
      <c r="BX448" s="213">
        <f>SUM(BX439:BX447)</f>
        <v>0</v>
      </c>
      <c r="BY448" s="213">
        <f t="shared" ref="BY448" si="11">SUM(BY439:BY447)</f>
        <v>0</v>
      </c>
      <c r="BZ448" s="213">
        <f t="shared" ref="BZ448" si="12">SUM(BZ439:BZ447)</f>
        <v>0</v>
      </c>
      <c r="CA448" s="213">
        <f t="shared" ref="CA448" si="13">SUM(CA439:CA447)</f>
        <v>28</v>
      </c>
      <c r="CB448" s="218">
        <f>SUM(CB439:CB447)</f>
        <v>0</v>
      </c>
      <c r="CC448" s="218">
        <f t="shared" ref="CC448:CE448" si="14">SUM(CC439:CC447)</f>
        <v>0</v>
      </c>
      <c r="CD448" s="218">
        <f t="shared" si="14"/>
        <v>0</v>
      </c>
      <c r="CE448" s="218">
        <f t="shared" si="14"/>
        <v>14</v>
      </c>
      <c r="CF448" s="198"/>
      <c r="CG448" s="498" t="s">
        <v>218</v>
      </c>
      <c r="CH448" s="499"/>
      <c r="CI448" s="499"/>
      <c r="CJ448" s="499"/>
      <c r="CK448" s="500"/>
      <c r="CL448" s="203"/>
      <c r="CM448" s="213">
        <f>SUM(CM439:CM447)</f>
        <v>0</v>
      </c>
      <c r="CN448" s="213">
        <f t="shared" ref="CN448" si="15">SUM(CN439:CN447)</f>
        <v>0</v>
      </c>
      <c r="CO448" s="213">
        <f t="shared" ref="CO448" si="16">SUM(CO439:CO447)</f>
        <v>0</v>
      </c>
      <c r="CP448" s="213">
        <f t="shared" ref="CP448" si="17">SUM(CP439:CP447)</f>
        <v>0</v>
      </c>
      <c r="CQ448" s="218">
        <f>SUM(CQ439:CQ447)</f>
        <v>0</v>
      </c>
      <c r="CR448" s="218">
        <f t="shared" ref="CR448" si="18">SUM(CR439:CR447)</f>
        <v>0</v>
      </c>
      <c r="CS448" s="218">
        <f t="shared" ref="CS448" si="19">SUM(CS439:CS447)</f>
        <v>0</v>
      </c>
      <c r="CT448" s="218">
        <f t="shared" ref="CT448" si="20">SUM(CT439:CT447)</f>
        <v>10</v>
      </c>
    </row>
    <row r="449" spans="2:98"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335"/>
      <c r="CC449" s="335"/>
      <c r="CD449" s="335"/>
      <c r="CE449" s="335"/>
      <c r="CF449" s="198"/>
      <c r="CG449" s="199"/>
      <c r="CH449" s="199"/>
      <c r="CI449" s="199"/>
      <c r="CJ449" s="198"/>
      <c r="CK449" s="198"/>
      <c r="CL449" s="198"/>
      <c r="CM449" s="198"/>
      <c r="CN449" s="198"/>
      <c r="CO449" s="198"/>
      <c r="CP449" s="198"/>
      <c r="CQ449" s="198"/>
      <c r="CR449" s="198"/>
      <c r="CS449" s="199"/>
      <c r="CT449" s="199"/>
    </row>
    <row r="450" spans="2:98"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335"/>
      <c r="CC450" s="335"/>
      <c r="CD450" s="335"/>
      <c r="CE450" s="335"/>
      <c r="CF450" s="198"/>
      <c r="CG450" s="199"/>
      <c r="CH450" s="199"/>
      <c r="CI450" s="199"/>
      <c r="CJ450" s="198"/>
      <c r="CK450" s="198"/>
      <c r="CL450" s="198"/>
      <c r="CM450" s="198"/>
      <c r="CN450" s="198"/>
      <c r="CO450" s="198"/>
      <c r="CP450" s="198"/>
      <c r="CQ450" s="198"/>
      <c r="CR450" s="198"/>
      <c r="CS450" s="199"/>
      <c r="CT450" s="199"/>
    </row>
    <row r="451" spans="2:98"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335"/>
      <c r="CC451" s="335"/>
      <c r="CD451" s="335"/>
      <c r="CE451" s="335"/>
      <c r="CF451" s="198"/>
      <c r="CG451" s="199"/>
      <c r="CH451" s="199"/>
      <c r="CI451" s="199"/>
      <c r="CJ451" s="198"/>
      <c r="CK451" s="198"/>
      <c r="CL451" s="198"/>
      <c r="CM451" s="198"/>
      <c r="CN451" s="198"/>
      <c r="CO451" s="198"/>
      <c r="CP451" s="198"/>
      <c r="CQ451" s="198"/>
      <c r="CR451" s="198"/>
      <c r="CS451" s="199"/>
      <c r="CT451" s="199"/>
    </row>
    <row r="452" spans="2:98"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335"/>
      <c r="CC452" s="335"/>
      <c r="CD452" s="335"/>
      <c r="CE452" s="335"/>
      <c r="CF452" s="198"/>
      <c r="CG452" s="199"/>
      <c r="CH452" s="199"/>
      <c r="CI452" s="199"/>
      <c r="CJ452" s="198"/>
      <c r="CK452" s="198"/>
      <c r="CL452" s="198"/>
      <c r="CM452" s="198"/>
      <c r="CN452" s="198"/>
      <c r="CO452" s="198"/>
      <c r="CP452" s="198"/>
      <c r="CQ452" s="198"/>
      <c r="CR452" s="198"/>
      <c r="CS452" s="199"/>
      <c r="CT452" s="199"/>
    </row>
    <row r="453" spans="2:98"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335"/>
      <c r="CC453" s="335"/>
      <c r="CD453" s="335"/>
      <c r="CE453" s="335"/>
      <c r="CF453" s="198"/>
      <c r="CG453" s="199"/>
      <c r="CH453" s="199"/>
      <c r="CI453" s="199"/>
      <c r="CJ453" s="198"/>
      <c r="CK453" s="198"/>
      <c r="CL453" s="198"/>
      <c r="CM453" s="198"/>
      <c r="CN453" s="198"/>
      <c r="CO453" s="198"/>
      <c r="CP453" s="198"/>
      <c r="CQ453" s="198"/>
      <c r="CR453" s="198"/>
      <c r="CS453" s="199"/>
      <c r="CT453" s="199"/>
    </row>
    <row r="454" spans="2:98"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335"/>
      <c r="CC454" s="335"/>
      <c r="CD454" s="335"/>
      <c r="CE454" s="335"/>
      <c r="CF454" s="198"/>
      <c r="CG454" s="199"/>
      <c r="CH454" s="199"/>
      <c r="CI454" s="199"/>
      <c r="CJ454" s="198"/>
      <c r="CK454" s="198"/>
      <c r="CL454" s="198"/>
      <c r="CM454" s="198"/>
      <c r="CN454" s="198"/>
      <c r="CO454" s="198"/>
      <c r="CP454" s="198"/>
      <c r="CQ454" s="198"/>
      <c r="CR454" s="198"/>
      <c r="CS454" s="199"/>
      <c r="CT454" s="199"/>
    </row>
    <row r="455" spans="2:98"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335"/>
      <c r="CC455" s="335"/>
      <c r="CD455" s="335"/>
      <c r="CE455" s="335"/>
      <c r="CF455" s="198"/>
      <c r="CG455" s="199"/>
      <c r="CH455" s="199"/>
      <c r="CI455" s="199"/>
      <c r="CJ455" s="198"/>
      <c r="CK455" s="198"/>
      <c r="CL455" s="198"/>
      <c r="CM455" s="198"/>
      <c r="CN455" s="198"/>
      <c r="CO455" s="198"/>
      <c r="CP455" s="198"/>
      <c r="CQ455" s="198"/>
      <c r="CR455" s="198"/>
      <c r="CS455" s="199"/>
      <c r="CT455" s="199"/>
    </row>
    <row r="456" spans="2:98"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335"/>
      <c r="CC456" s="335"/>
      <c r="CD456" s="335"/>
      <c r="CE456" s="335"/>
      <c r="CF456" s="198"/>
      <c r="CG456" s="199"/>
      <c r="CH456" s="199"/>
      <c r="CI456" s="199"/>
      <c r="CJ456" s="198"/>
      <c r="CK456" s="198"/>
      <c r="CL456" s="198"/>
      <c r="CM456" s="198"/>
      <c r="CN456" s="198"/>
      <c r="CO456" s="198"/>
      <c r="CP456" s="198"/>
      <c r="CQ456" s="198"/>
      <c r="CR456" s="198"/>
      <c r="CS456" s="199"/>
      <c r="CT456" s="199"/>
    </row>
    <row r="457" spans="2:98"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335"/>
      <c r="CC457" s="335"/>
      <c r="CD457" s="335"/>
      <c r="CE457" s="335"/>
      <c r="CF457" s="198"/>
      <c r="CG457" s="199"/>
      <c r="CH457" s="199"/>
      <c r="CI457" s="199"/>
      <c r="CJ457" s="198"/>
      <c r="CK457" s="198"/>
      <c r="CL457" s="198"/>
      <c r="CM457" s="198"/>
      <c r="CN457" s="198"/>
      <c r="CO457" s="198"/>
      <c r="CP457" s="198"/>
      <c r="CQ457" s="198"/>
      <c r="CR457" s="198"/>
      <c r="CS457" s="199"/>
      <c r="CT457" s="199"/>
    </row>
    <row r="458" spans="2:98"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335"/>
      <c r="CC458" s="335"/>
      <c r="CD458" s="335"/>
      <c r="CE458" s="335"/>
      <c r="CF458" s="198"/>
      <c r="CG458" s="199"/>
      <c r="CH458" s="199"/>
      <c r="CI458" s="199"/>
      <c r="CJ458" s="198"/>
      <c r="CK458" s="198"/>
      <c r="CL458" s="198"/>
      <c r="CM458" s="198"/>
      <c r="CN458" s="198"/>
      <c r="CO458" s="198"/>
      <c r="CP458" s="198"/>
      <c r="CQ458" s="198"/>
      <c r="CR458" s="198"/>
      <c r="CS458" s="199"/>
      <c r="CT458" s="199"/>
    </row>
    <row r="459" spans="2:98"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335"/>
      <c r="CC459" s="335"/>
      <c r="CD459" s="335"/>
      <c r="CE459" s="335"/>
      <c r="CF459" s="198"/>
      <c r="CG459" s="199"/>
      <c r="CH459" s="199"/>
      <c r="CI459" s="199"/>
      <c r="CJ459" s="198"/>
      <c r="CK459" s="198"/>
      <c r="CL459" s="198"/>
      <c r="CM459" s="198"/>
      <c r="CN459" s="198"/>
      <c r="CO459" s="198"/>
      <c r="CP459" s="198"/>
      <c r="CQ459" s="198"/>
      <c r="CR459" s="198"/>
      <c r="CS459" s="199"/>
      <c r="CT459" s="199"/>
    </row>
    <row r="460" spans="2:98"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335"/>
      <c r="CC460" s="335"/>
      <c r="CD460" s="335"/>
      <c r="CE460" s="335"/>
      <c r="CF460" s="198"/>
      <c r="CG460" s="199"/>
      <c r="CH460" s="199"/>
      <c r="CI460" s="199"/>
      <c r="CJ460" s="198"/>
      <c r="CK460" s="198"/>
      <c r="CL460" s="198"/>
      <c r="CM460" s="198"/>
      <c r="CN460" s="198"/>
      <c r="CO460" s="198"/>
      <c r="CP460" s="198"/>
      <c r="CQ460" s="198"/>
      <c r="CR460" s="198"/>
      <c r="CS460" s="199"/>
      <c r="CT460" s="199"/>
    </row>
    <row r="461" spans="2:98"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335"/>
      <c r="CC461" s="335"/>
      <c r="CD461" s="335"/>
      <c r="CE461" s="335"/>
      <c r="CF461" s="198"/>
      <c r="CG461" s="199"/>
      <c r="CH461" s="199"/>
      <c r="CI461" s="199"/>
      <c r="CJ461" s="198"/>
      <c r="CK461" s="198"/>
      <c r="CL461" s="198"/>
      <c r="CM461" s="198"/>
      <c r="CN461" s="198"/>
      <c r="CO461" s="198"/>
      <c r="CP461" s="198"/>
      <c r="CQ461" s="198"/>
      <c r="CR461" s="198"/>
      <c r="CS461" s="199"/>
      <c r="CT461" s="199"/>
    </row>
    <row r="462" spans="2:98"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335"/>
      <c r="CC462" s="335"/>
      <c r="CD462" s="335"/>
      <c r="CE462" s="335"/>
      <c r="CF462" s="198"/>
      <c r="CG462" s="199"/>
      <c r="CH462" s="199"/>
      <c r="CI462" s="199"/>
      <c r="CJ462" s="198"/>
      <c r="CK462" s="198"/>
      <c r="CL462" s="198"/>
      <c r="CM462" s="198"/>
      <c r="CN462" s="198"/>
      <c r="CO462" s="198"/>
      <c r="CP462" s="198"/>
      <c r="CQ462" s="198"/>
      <c r="CR462" s="198"/>
      <c r="CS462" s="199"/>
      <c r="CT462" s="199"/>
    </row>
    <row r="463" spans="2:98"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335"/>
      <c r="CC463" s="335"/>
      <c r="CD463" s="335"/>
      <c r="CE463" s="335"/>
      <c r="CF463" s="198"/>
      <c r="CG463" s="199"/>
      <c r="CH463" s="199"/>
      <c r="CI463" s="199"/>
      <c r="CJ463" s="198"/>
      <c r="CK463" s="198"/>
      <c r="CL463" s="198"/>
      <c r="CM463" s="198"/>
      <c r="CN463" s="198"/>
      <c r="CO463" s="198"/>
      <c r="CP463" s="198"/>
      <c r="CQ463" s="198"/>
      <c r="CR463" s="198"/>
      <c r="CS463" s="199"/>
      <c r="CT463" s="199"/>
    </row>
    <row r="464" spans="2:98"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335"/>
      <c r="CC464" s="335"/>
      <c r="CD464" s="335"/>
      <c r="CE464" s="335"/>
      <c r="CF464" s="198"/>
      <c r="CG464" s="199"/>
      <c r="CH464" s="199"/>
      <c r="CI464" s="199"/>
      <c r="CJ464" s="198"/>
      <c r="CK464" s="198"/>
      <c r="CL464" s="198"/>
      <c r="CM464" s="198"/>
      <c r="CN464" s="198"/>
      <c r="CO464" s="198"/>
      <c r="CP464" s="198"/>
      <c r="CQ464" s="198"/>
      <c r="CR464" s="198"/>
      <c r="CS464" s="199"/>
      <c r="CT464" s="199"/>
    </row>
    <row r="465" spans="1:98"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335"/>
      <c r="CC465" s="335"/>
      <c r="CD465" s="335"/>
      <c r="CE465" s="335"/>
      <c r="CF465" s="198"/>
      <c r="CG465" s="199"/>
      <c r="CH465" s="199"/>
      <c r="CI465" s="199"/>
      <c r="CJ465" s="198"/>
      <c r="CK465" s="198"/>
      <c r="CL465" s="198"/>
      <c r="CM465" s="198"/>
      <c r="CN465" s="198"/>
      <c r="CO465" s="198"/>
      <c r="CP465" s="198"/>
      <c r="CQ465" s="198"/>
      <c r="CR465" s="198"/>
      <c r="CS465" s="199"/>
      <c r="CT465" s="199"/>
    </row>
    <row r="466" spans="1:98"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335"/>
      <c r="CC466" s="335"/>
      <c r="CD466" s="335"/>
      <c r="CE466" s="335"/>
      <c r="CF466" s="198"/>
      <c r="CG466" s="199"/>
      <c r="CH466" s="199"/>
      <c r="CI466" s="199"/>
      <c r="CJ466" s="198"/>
      <c r="CK466" s="198"/>
      <c r="CL466" s="198"/>
      <c r="CM466" s="198"/>
      <c r="CN466" s="198"/>
      <c r="CO466" s="198"/>
      <c r="CP466" s="198"/>
      <c r="CQ466" s="198"/>
      <c r="CR466" s="198"/>
      <c r="CS466" s="199"/>
      <c r="CT466" s="199"/>
    </row>
    <row r="467" spans="1:98"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335"/>
      <c r="CC467" s="335"/>
      <c r="CD467" s="335"/>
      <c r="CE467" s="335"/>
      <c r="CF467" s="198"/>
      <c r="CG467" s="199"/>
      <c r="CH467" s="199"/>
      <c r="CI467" s="199"/>
      <c r="CJ467" s="198"/>
      <c r="CK467" s="198"/>
      <c r="CL467" s="198"/>
      <c r="CM467" s="198"/>
      <c r="CN467" s="198"/>
      <c r="CO467" s="198"/>
      <c r="CP467" s="198"/>
      <c r="CQ467" s="198"/>
      <c r="CR467" s="198"/>
      <c r="CS467" s="199"/>
      <c r="CT467" s="199"/>
    </row>
    <row r="468" spans="1:98"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335"/>
      <c r="CC468" s="335"/>
      <c r="CD468" s="335"/>
      <c r="CE468" s="335"/>
      <c r="CF468" s="198"/>
      <c r="CG468" s="199"/>
      <c r="CH468" s="199"/>
      <c r="CI468" s="199"/>
      <c r="CJ468" s="198"/>
      <c r="CK468" s="198"/>
      <c r="CL468" s="198"/>
      <c r="CM468" s="198"/>
      <c r="CN468" s="198"/>
      <c r="CO468" s="198"/>
      <c r="CP468" s="198"/>
      <c r="CQ468" s="198"/>
      <c r="CR468" s="198"/>
      <c r="CS468" s="199"/>
      <c r="CT468" s="199"/>
    </row>
    <row r="469" spans="1:98"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252</v>
      </c>
      <c r="AV469" s="331" t="s">
        <v>253</v>
      </c>
      <c r="AY469" s="330" t="s">
        <v>156</v>
      </c>
      <c r="AZ469" s="330"/>
      <c r="BA469" s="330"/>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335"/>
      <c r="CC469" s="335"/>
      <c r="CD469" s="335"/>
      <c r="CE469" s="335"/>
      <c r="CF469" s="198"/>
      <c r="CG469" s="199"/>
      <c r="CH469" s="199"/>
      <c r="CI469" s="199"/>
      <c r="CJ469" s="198"/>
      <c r="CK469" s="198"/>
      <c r="CL469" s="198"/>
      <c r="CM469" s="198"/>
      <c r="CN469" s="198"/>
      <c r="CO469" s="198"/>
      <c r="CP469" s="198"/>
      <c r="CQ469" s="198"/>
      <c r="CR469" s="198"/>
      <c r="CS469" s="199"/>
      <c r="CT469" s="199"/>
    </row>
    <row r="470" spans="1:98"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335"/>
      <c r="CC470" s="335"/>
      <c r="CD470" s="335"/>
      <c r="CE470" s="335"/>
      <c r="CF470" s="198"/>
      <c r="CG470" s="199"/>
      <c r="CH470" s="199"/>
      <c r="CI470" s="199"/>
      <c r="CJ470" s="198"/>
      <c r="CK470" s="198"/>
      <c r="CL470" s="198"/>
      <c r="CM470" s="198"/>
      <c r="CN470" s="198"/>
      <c r="CO470" s="198"/>
      <c r="CP470" s="198"/>
      <c r="CQ470" s="198"/>
      <c r="CR470" s="198"/>
      <c r="CS470" s="199"/>
      <c r="CT470" s="199"/>
    </row>
    <row r="471" spans="1:98"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335"/>
      <c r="CC471" s="335"/>
      <c r="CD471" s="335"/>
      <c r="CE471" s="335"/>
      <c r="CF471" s="198"/>
      <c r="CG471" s="199"/>
      <c r="CH471" s="199"/>
      <c r="CI471" s="199"/>
      <c r="CJ471" s="198"/>
      <c r="CK471" s="198"/>
      <c r="CL471" s="198"/>
      <c r="CM471" s="198"/>
      <c r="CN471" s="198"/>
      <c r="CO471" s="198"/>
      <c r="CP471" s="198"/>
      <c r="CQ471" s="198"/>
      <c r="CR471" s="198"/>
      <c r="CS471" s="199"/>
      <c r="CT471" s="199"/>
    </row>
    <row r="472" spans="1:98"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335"/>
      <c r="CC472" s="335"/>
      <c r="CD472" s="335"/>
      <c r="CE472" s="335"/>
      <c r="CF472" s="198"/>
      <c r="CG472" s="199"/>
      <c r="CH472" s="199"/>
      <c r="CI472" s="199"/>
      <c r="CJ472" s="198"/>
      <c r="CK472" s="198"/>
      <c r="CL472" s="198"/>
      <c r="CM472" s="198"/>
      <c r="CN472" s="198"/>
      <c r="CO472" s="198"/>
      <c r="CP472" s="198"/>
      <c r="CQ472" s="198"/>
      <c r="CR472" s="198"/>
      <c r="CS472" s="199"/>
      <c r="CT472" s="199"/>
    </row>
    <row r="473" spans="1:98"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335"/>
      <c r="CC473" s="335"/>
      <c r="CD473" s="335"/>
      <c r="CE473" s="335"/>
      <c r="CF473" s="198"/>
      <c r="CG473" s="199"/>
      <c r="CH473" s="199"/>
      <c r="CI473" s="199"/>
      <c r="CJ473" s="198"/>
      <c r="CK473" s="198"/>
      <c r="CL473" s="198"/>
      <c r="CM473" s="198"/>
      <c r="CN473" s="198"/>
      <c r="CO473" s="198"/>
      <c r="CP473" s="198"/>
      <c r="CQ473" s="198"/>
      <c r="CR473" s="198"/>
      <c r="CS473" s="199"/>
      <c r="CT473" s="199"/>
    </row>
    <row r="474" spans="1:98"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335"/>
      <c r="CC474" s="335"/>
      <c r="CD474" s="335"/>
      <c r="CE474" s="335"/>
      <c r="CF474" s="198"/>
      <c r="CG474" s="199"/>
      <c r="CH474" s="199"/>
      <c r="CI474" s="199"/>
      <c r="CJ474" s="198"/>
      <c r="CK474" s="198"/>
      <c r="CL474" s="198"/>
      <c r="CM474" s="198"/>
      <c r="CN474" s="198"/>
      <c r="CO474" s="198"/>
      <c r="CP474" s="198"/>
      <c r="CQ474" s="198"/>
      <c r="CR474" s="198"/>
      <c r="CS474" s="199"/>
      <c r="CT474" s="199"/>
    </row>
    <row r="475" spans="1:98"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Tendinţe, materiale şi tehnologii noi în arhitectura de interior</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335"/>
      <c r="CC475" s="335"/>
      <c r="CD475" s="335"/>
      <c r="CE475" s="335"/>
      <c r="CF475" s="198"/>
      <c r="CG475" s="199"/>
      <c r="CH475" s="199"/>
      <c r="CI475" s="199"/>
      <c r="CJ475" s="198"/>
      <c r="CK475" s="198"/>
      <c r="CL475" s="198"/>
      <c r="CM475" s="198"/>
      <c r="CN475" s="198"/>
      <c r="CO475" s="198"/>
      <c r="CP475" s="198"/>
      <c r="CQ475" s="198"/>
      <c r="CR475" s="198"/>
      <c r="CS475" s="199"/>
      <c r="CT475" s="199"/>
    </row>
    <row r="476" spans="1:98"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335"/>
      <c r="CC476" s="335"/>
      <c r="CD476" s="335"/>
      <c r="CE476" s="335"/>
      <c r="CF476" s="198"/>
      <c r="CG476" s="199"/>
      <c r="CH476" s="199"/>
      <c r="CI476" s="199"/>
      <c r="CJ476" s="198"/>
      <c r="CK476" s="198"/>
      <c r="CL476" s="198"/>
      <c r="CM476" s="198"/>
      <c r="CN476" s="198"/>
      <c r="CO476" s="198"/>
      <c r="CP476" s="198"/>
      <c r="CQ476" s="198"/>
      <c r="CR476" s="198"/>
      <c r="CS476" s="199"/>
      <c r="CT476" s="199"/>
    </row>
    <row r="477" spans="1:98"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90" t="s">
        <v>160</v>
      </c>
      <c r="AU477" s="491"/>
      <c r="AV477" s="491"/>
      <c r="AW477" s="491"/>
      <c r="AX477" s="491"/>
      <c r="AY477" s="491"/>
      <c r="AZ477" s="491"/>
      <c r="BA477" s="491"/>
      <c r="BB477" s="491"/>
      <c r="BC477" s="491"/>
      <c r="BD477" s="491"/>
      <c r="BE477" s="491"/>
      <c r="BF477" s="491"/>
      <c r="BG477" s="491"/>
      <c r="BH477" s="491"/>
      <c r="BI477" s="491"/>
      <c r="BJ477" s="491"/>
      <c r="BK477" s="491"/>
      <c r="BL477" s="491"/>
      <c r="BM477" s="491"/>
      <c r="BN477" s="491"/>
      <c r="BO477" s="491"/>
      <c r="BP477" s="491"/>
      <c r="BQ477" s="491"/>
      <c r="BR477" s="492"/>
      <c r="BS477" s="203"/>
      <c r="BU477" s="198"/>
      <c r="BV477" s="198"/>
      <c r="BW477" s="198"/>
      <c r="BX477" s="203" t="s">
        <v>222</v>
      </c>
      <c r="BY477" s="203"/>
      <c r="BZ477" s="198"/>
      <c r="CA477" s="198"/>
      <c r="CB477" s="335"/>
      <c r="CC477" s="335"/>
      <c r="CD477" s="335"/>
      <c r="CE477" s="335"/>
      <c r="CF477" s="198"/>
      <c r="CG477" s="199"/>
      <c r="CH477" s="199"/>
      <c r="CI477" s="199"/>
      <c r="CJ477" s="198"/>
      <c r="CK477" s="198"/>
      <c r="CL477" s="198"/>
      <c r="CM477" s="198"/>
      <c r="CN477" s="198"/>
      <c r="CO477" s="198"/>
      <c r="CP477" s="198"/>
      <c r="CQ477" s="198"/>
      <c r="CR477" s="198"/>
      <c r="CS477" s="199"/>
      <c r="CT477" s="199"/>
    </row>
    <row r="478" spans="1:98" s="224" customFormat="1" ht="63" hidden="1" x14ac:dyDescent="0.25">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230</v>
      </c>
      <c r="BJ478" s="227" t="s">
        <v>177</v>
      </c>
      <c r="BK478" s="227" t="s">
        <v>178</v>
      </c>
      <c r="BL478" s="226" t="s">
        <v>231</v>
      </c>
      <c r="BM478" s="226" t="s">
        <v>180</v>
      </c>
      <c r="BN478" s="226" t="s">
        <v>181</v>
      </c>
      <c r="BO478" s="226" t="s">
        <v>182</v>
      </c>
      <c r="BP478" s="226" t="s">
        <v>183</v>
      </c>
      <c r="BQ478" s="226" t="s">
        <v>184</v>
      </c>
      <c r="BR478" s="226" t="s">
        <v>185</v>
      </c>
      <c r="BS478" s="227" t="s">
        <v>215</v>
      </c>
      <c r="BT478" s="333" t="s">
        <v>254</v>
      </c>
      <c r="BU478" s="228"/>
      <c r="BV478" s="228"/>
      <c r="BW478" s="228"/>
      <c r="BX478" s="226"/>
      <c r="BY478" s="226" t="s">
        <v>223</v>
      </c>
      <c r="BZ478" s="228"/>
      <c r="CA478" s="228"/>
      <c r="CB478" s="228"/>
      <c r="CC478" s="228"/>
      <c r="CD478" s="228"/>
      <c r="CE478" s="228"/>
      <c r="CF478" s="228"/>
      <c r="CG478" s="228"/>
      <c r="CH478" s="228"/>
      <c r="CI478" s="228"/>
      <c r="CJ478" s="228"/>
      <c r="CK478" s="228"/>
      <c r="CL478" s="228"/>
      <c r="CM478" s="228"/>
      <c r="CN478" s="228"/>
      <c r="CO478" s="228"/>
      <c r="CP478" s="228"/>
      <c r="CQ478" s="228"/>
      <c r="CR478" s="228"/>
      <c r="CS478" s="228"/>
      <c r="CT478" s="228"/>
    </row>
    <row r="479" spans="1:98"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M60.22.01.S1</v>
      </c>
      <c r="AU479" s="205">
        <v>1</v>
      </c>
      <c r="AV479" s="205" t="str">
        <f>IF(COUNTIFS($B$23,"&lt;&gt;"&amp;"",$B$23,"&lt;&gt;*op?ional*",$B$23,"&lt;&gt;*Disciplin? facultativ?*"),$B$23,"")</f>
        <v>Arhitectură de interior 1</v>
      </c>
      <c r="AW479" s="205">
        <f>IF($AV479="","",ROUND(RIGHT($B$22,1)/2,0))</f>
        <v>1</v>
      </c>
      <c r="AX479" s="205" t="str">
        <f>IF($AV479="","",RIGHT($B$22,1))</f>
        <v>1</v>
      </c>
      <c r="AY479" s="205" t="str">
        <f>IF($AV479="","",$F$25)</f>
        <v>D</v>
      </c>
      <c r="AZ479" s="205" t="str">
        <f>IF($AV479="","","DI")</f>
        <v>DI</v>
      </c>
      <c r="BA479" s="205">
        <f>IF(COUNTIFS($B$23,"&lt;&gt;"&amp;"",$B$23,"&lt;&gt;practic?*",$B$23,"&lt;&gt;*Elaborare proiect de diplom?*",$B$23,"&lt;&gt;*op?ional*",$B$23,"&lt;&gt;*Disciplin? facultativ?*", $B$23,"&lt;&gt;*Examen de diplom?*"),ROUND($G$25/14,1),"")</f>
        <v>1</v>
      </c>
      <c r="BB479" s="205">
        <f>IF(COUNTIFS($B$23,"&lt;&gt;"&amp;"",$B$23,"&lt;&gt;practic?*",$B$23,"&lt;&gt;*Elaborare proiect de diplom?*",$B$23,"&lt;&gt;*op?ional*",$B$23,"&lt;&gt;*Disciplin? facultativ?*", $B$23,"&lt;&gt;*Examen de diplom?*"),ROUND(($H$25+$I$25+$J$25)/14,1),"")</f>
        <v>3</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14</v>
      </c>
      <c r="BE479" s="205">
        <f>IF(COUNTIFS($B$23,"&lt;&gt;"&amp;"",$B$23,"&lt;&gt;practic?*",$B$23,"&lt;&gt;*Elaborare proiect de diplom?*",$B$23,"&lt;&gt;*op?ional*",$B$23,"&lt;&gt;*Disciplin? facultativ?*", $B$23,"&lt;&gt;*Examen de diplom?*"),($H$25+$I$25+$J$25),"")</f>
        <v>42</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10.3</v>
      </c>
      <c r="BN479" s="207">
        <f>IF(COUNTIFS($B$23,"&lt;&gt;"&amp;"",$B$23,"&lt;&gt;practic?*",$B$23,"&lt;&gt;*Elaborare proiect de diplom?*",$B$23,"&lt;&gt;*op?ional*",$B$23,"&lt;&gt;*Disciplin? facultativ?*", $B$23,"&lt;&gt;*Examen de diplom?*"),$M$25,"")</f>
        <v>144</v>
      </c>
      <c r="BO479" s="205">
        <f>IF($AV479="","",$E$25)</f>
        <v>8</v>
      </c>
      <c r="BP479" s="207" t="str">
        <f>IF(COUNTIFS($B$23,"&lt;&gt;"&amp;"",$B$23,"&lt;&gt;practic?*",$B$23,"&lt;&gt;*op?ional*",$B$23,"&lt;&gt;*Disciplin? facultativ?*",$B$23,"&lt;&gt;*Examen de diplom?*"),$L$25,"")</f>
        <v>DS</v>
      </c>
      <c r="BQ479" s="207">
        <f>IF($AV479="","",IF($BC479&lt;&gt;"",$BC479,0)+IF($BI479&lt;&gt;"",$BI479,0)+IF($BM479&lt;&gt;"",$BM479,0))</f>
        <v>14.3</v>
      </c>
      <c r="BR479" s="205">
        <f>IF($AV$479="","",IF($BF$479&lt;&gt;"",$BF$479,0)+IF($BL$479&lt;&gt;"",$BL$479,0)+IF($BN$479&lt;&gt;"",$BN$479,0))</f>
        <v>200</v>
      </c>
      <c r="BS479" s="209">
        <f>IF(SUM(BA479:BB479)&gt;0,1,0)</f>
        <v>1</v>
      </c>
      <c r="BT479" s="209" t="str">
        <f>IF($AV479="","",CONCATENATE("20",G$17+AW479-1))</f>
        <v>2022</v>
      </c>
      <c r="BU479" s="198"/>
      <c r="BV479" s="198"/>
      <c r="BW479" s="198"/>
      <c r="BX479" s="203">
        <f>SUM(G25:J25)</f>
        <v>56</v>
      </c>
      <c r="BY479" s="502">
        <f>COUNTIF(BX479:BX486,"&gt;0")</f>
        <v>6</v>
      </c>
      <c r="BZ479" s="198"/>
      <c r="CA479" s="198"/>
      <c r="CB479" s="335"/>
      <c r="CC479" s="335"/>
      <c r="CD479" s="335"/>
      <c r="CE479" s="335"/>
      <c r="CF479" s="198"/>
      <c r="CG479" s="199"/>
      <c r="CH479" s="199"/>
      <c r="CI479" s="199"/>
      <c r="CJ479" s="198"/>
      <c r="CK479" s="198"/>
      <c r="CL479" s="198"/>
      <c r="CM479" s="198"/>
      <c r="CN479" s="198"/>
      <c r="CO479" s="198"/>
      <c r="CP479" s="198"/>
      <c r="CQ479" s="198"/>
      <c r="CR479" s="198"/>
      <c r="CS479" s="199"/>
      <c r="CT479" s="199"/>
    </row>
    <row r="480" spans="1:98"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M60.22.01.A2</v>
      </c>
      <c r="AU480" s="203">
        <v>2</v>
      </c>
      <c r="AV480" s="205" t="str">
        <f>IF(COUNTIFS($B$26,"&lt;&gt;"&amp;"",$B$26,"&lt;&gt;*op?ional*",$B$26,"&lt;&gt;*Disciplin? facultativ?*"),$B$26,"")</f>
        <v>Stilistică comparată</v>
      </c>
      <c r="AW480" s="205">
        <f t="shared" ref="AW480:AW487" si="21">IF($AV480="","",ROUND(RIGHT($B$22,1)/2,0))</f>
        <v>1</v>
      </c>
      <c r="AX480" s="205" t="str">
        <f t="shared" ref="AX480:AX487" si="22">IF($AV480="","",RIGHT($B$22,1))</f>
        <v>1</v>
      </c>
      <c r="AY480" s="205" t="str">
        <f>IF($AV480="","",$F$28)</f>
        <v>E</v>
      </c>
      <c r="AZ480" s="205" t="str">
        <f t="shared" ref="AZ480:AZ487" si="23">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0</v>
      </c>
      <c r="BC480" s="205">
        <f>IF(COUNTIFS($B$26,"&lt;&gt;"&amp;"",$B$26,"&lt;&gt;practic?*",$B$26,"&lt;&gt;*Elaborare proiect de diplom?*",$B$26,"&lt;&gt;*op?ional*",$B$26,"&lt;&gt;*Disciplin? facultativ?*", $B$26,"&lt;&gt;*Examen de diplom?*"),ROUND(($G$28+$H$28+$I$28+$J$28)/14,1),"")</f>
        <v>2</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0</v>
      </c>
      <c r="BF480" s="205">
        <f>IF(COUNTIFS($B$26,"&lt;&gt;"&amp;"",$B$26,"&lt;&gt;practic?*",$B$26,"&lt;&gt;*Elaborare proiect de diplom?*",$B$26,"&lt;&gt;*op?ional*",$B$26,"&lt;&gt;*Disciplin? facultativ?*", $B$26,"&lt;&gt;*Examen de diplom?*"),($G$28+$H$28+$I$28+$J$28),"")</f>
        <v>28</v>
      </c>
      <c r="BG480" s="203"/>
      <c r="BH480" s="205" t="str">
        <f>IF(COUNTIF($AV480,"=*Elaborare proiect de diplom?*"),ROUND($J$24/14,1),"")</f>
        <v/>
      </c>
      <c r="BI480" s="207">
        <f t="shared" ref="BI480:BI487" si="24">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5">ROUND(BN480/14,1)</f>
        <v>5.0999999999999996</v>
      </c>
      <c r="BN480" s="207">
        <f>IF(COUNTIFS($B$26,"&lt;&gt;"&amp;"",$B$26,"&lt;&gt;practic?*",$B$26,"&lt;&gt;*Elaborare proiect de diplom?*",$B$26,"&lt;&gt;*op?ional*",$B$26,"&lt;&gt;*Disciplin? facultativ?*", $B$26,"&lt;&gt;*Examen de diplom?*"),$M$28,"")</f>
        <v>72</v>
      </c>
      <c r="BO480" s="203">
        <f>IF($AV480="","",$E$28)</f>
        <v>4</v>
      </c>
      <c r="BP480" s="215" t="str">
        <f>IF(COUNTIFS($B$22,"&lt;&gt;"&amp;"",$B$22,"&lt;&gt;practic?*",$B$22,"&lt;&gt;*op?ional*",$B$22,"&lt;&gt;*Disciplin? facultativ?*",$B$22,"&lt;&gt;*Examen de diplom?*"),$L$28,"")</f>
        <v>DA</v>
      </c>
      <c r="BQ480" s="207">
        <f t="shared" ref="BQ480:BQ487" si="26">IF($AV480="","",IF($BC480&lt;&gt;"",$BC480,0)+IF($BI480&lt;&gt;"",$BI480,0)+IF($BM480&lt;&gt;"",$BM480,0))</f>
        <v>7.1</v>
      </c>
      <c r="BR480" s="203">
        <f>IF($AV$480="","",IF($BF$480&lt;&gt;"",$BF$480,0)+IF($BL$480&lt;&gt;"",$BL$480,0)+IF($BN$480&lt;&gt;"",$BN$480,0))</f>
        <v>100</v>
      </c>
      <c r="BS480" s="209">
        <f t="shared" ref="BS480:BS487" si="27">IF(SUM(BA480:BB480)&gt;0,1,0)</f>
        <v>1</v>
      </c>
      <c r="BT480" s="209" t="str">
        <f t="shared" ref="BT480:BT543" si="28">IF($AV480="","",CONCATENATE("20",G$17+AW480-1))</f>
        <v>2022</v>
      </c>
      <c r="BU480" s="198"/>
      <c r="BV480" s="198"/>
      <c r="BW480" s="198"/>
      <c r="BX480" s="203">
        <f>SUM(G28:J28)</f>
        <v>28</v>
      </c>
      <c r="BY480" s="502"/>
      <c r="BZ480" s="198"/>
      <c r="CA480" s="198"/>
      <c r="CB480" s="335"/>
      <c r="CC480" s="335"/>
      <c r="CD480" s="335"/>
      <c r="CE480" s="335"/>
      <c r="CF480" s="198"/>
      <c r="CG480" s="199"/>
      <c r="CH480" s="199"/>
      <c r="CI480" s="199"/>
      <c r="CJ480" s="198"/>
      <c r="CK480" s="198"/>
      <c r="CL480" s="198"/>
      <c r="CM480" s="198"/>
      <c r="CN480" s="198"/>
      <c r="CO480" s="198"/>
      <c r="CP480" s="198"/>
      <c r="CQ480" s="198"/>
      <c r="CR480" s="198"/>
      <c r="CS480" s="199"/>
      <c r="CT480" s="199"/>
    </row>
    <row r="481" spans="1:98"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M60.22.01.A3</v>
      </c>
      <c r="AU481" s="203">
        <v>3</v>
      </c>
      <c r="AV481" s="205" t="str">
        <f>IF(COUNTIFS($B$29,"&lt;&gt;"&amp;"",$B$29,"&lt;&gt;*op?ional*",$B$29,"&lt;&gt;*Disciplin? facultativ?*"),$B$29,"")</f>
        <v>Ambianţă de interior</v>
      </c>
      <c r="AW481" s="205">
        <f t="shared" si="21"/>
        <v>1</v>
      </c>
      <c r="AX481" s="205" t="str">
        <f t="shared" si="22"/>
        <v>1</v>
      </c>
      <c r="AY481" s="205" t="str">
        <f>IF($AV481="","",$F$31)</f>
        <v>E</v>
      </c>
      <c r="AZ481" s="205" t="str">
        <f t="shared" si="23"/>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1</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14</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4"/>
        <v>0</v>
      </c>
      <c r="BJ481" s="203"/>
      <c r="BK481" s="205" t="str">
        <f>IF(COUNTIF($AV481,"=*Elaborare proiect de diplom?*"),$J$27,"")</f>
        <v/>
      </c>
      <c r="BL481" s="207">
        <f>IF(COUNTIFS($B$29,"&lt;&gt;"&amp;"",$B$29,"&lt;&gt;practic?*",$B$29,"&lt;&gt;*Elaborare proiect de diplom?*",$B$29,"&lt;&gt;*op?ional*",$B$29,"&lt;&gt;*Disciplin? facultativ?*", $B$29,"&lt;&gt;*Examen de diplom?*"),$K$31,"")</f>
        <v>0</v>
      </c>
      <c r="BM481" s="207">
        <f t="shared" si="25"/>
        <v>5.9</v>
      </c>
      <c r="BN481" s="207">
        <f>IF(COUNTIFS($B$29,"&lt;&gt;"&amp;"",$B$29,"&lt;&gt;practic?*",$B$29,"&lt;&gt;*Elaborare proiect de diplom?*",$B$29,"&lt;&gt;*op?ional*",$B$29,"&lt;&gt;*Disciplin? facultativ?*", $B$29,"&lt;&gt;*Examen de diplom?*"),$M$31,"")</f>
        <v>83</v>
      </c>
      <c r="BO481" s="203">
        <f>IF($AV481="","",$E$31)</f>
        <v>5</v>
      </c>
      <c r="BP481" s="215" t="str">
        <f>IF(COUNTIFS($B$25,"&lt;&gt;"&amp;"",$B$25,"&lt;&gt;practic?*",$B$25,"&lt;&gt;*op?ional*",$B$25,"&lt;&gt;*Disciplin? facultativ?*",$B$25,"&lt;&gt;*Examen de diplom?*"),$L$31,"")</f>
        <v>DA</v>
      </c>
      <c r="BQ481" s="207">
        <f t="shared" si="26"/>
        <v>8.9</v>
      </c>
      <c r="BR481" s="203">
        <f>IF($AV$481="","",IF($BF$481&lt;&gt;"",$BF$481,0)+IF($BL$481&lt;&gt;"",$BL$481,0)+IF($BN$481&lt;&gt;"",$BN$481,0))</f>
        <v>125</v>
      </c>
      <c r="BS481" s="209">
        <f t="shared" si="27"/>
        <v>1</v>
      </c>
      <c r="BT481" s="209" t="str">
        <f t="shared" si="28"/>
        <v>2022</v>
      </c>
      <c r="BU481" s="198"/>
      <c r="BV481" s="198"/>
      <c r="BW481" s="198"/>
      <c r="BX481" s="203">
        <f>SUM(G31:J31)</f>
        <v>42</v>
      </c>
      <c r="BY481" s="502"/>
      <c r="BZ481" s="198"/>
      <c r="CA481" s="198"/>
      <c r="CB481" s="335"/>
      <c r="CC481" s="335"/>
      <c r="CD481" s="335"/>
      <c r="CE481" s="335"/>
      <c r="CF481" s="198"/>
      <c r="CG481" s="199"/>
      <c r="CH481" s="199"/>
      <c r="CI481" s="199"/>
      <c r="CJ481" s="198"/>
      <c r="CK481" s="198"/>
      <c r="CL481" s="198"/>
      <c r="CM481" s="198"/>
      <c r="CN481" s="198"/>
      <c r="CO481" s="198"/>
      <c r="CP481" s="198"/>
      <c r="CQ481" s="198"/>
      <c r="CR481" s="198"/>
      <c r="CS481" s="199"/>
      <c r="CT481" s="199"/>
    </row>
    <row r="482" spans="1:98"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M60.22.01.A4</v>
      </c>
      <c r="AU482" s="203">
        <v>4</v>
      </c>
      <c r="AV482" s="205" t="str">
        <f>IF(COUNTIFS($B$32,"&lt;&gt;"&amp;"",$B$32,"&lt;&gt;*op?ional*",$B$32,"&lt;&gt;*Disciplin? facultativ?*"),$B$32,"")</f>
        <v>Materiale şi tehnologii</v>
      </c>
      <c r="AW482" s="205">
        <f t="shared" si="21"/>
        <v>1</v>
      </c>
      <c r="AX482" s="205" t="str">
        <f t="shared" si="22"/>
        <v>1</v>
      </c>
      <c r="AY482" s="205" t="str">
        <f>IF($AV482="","",$F$34)</f>
        <v>E</v>
      </c>
      <c r="AZ482" s="205" t="str">
        <f t="shared" si="23"/>
        <v>DI</v>
      </c>
      <c r="BA482" s="205">
        <f>IF(COUNTIFS($B$32,"&lt;&gt;"&amp;"",$B$32,"&lt;&gt;practic?*",$B$32,"&lt;&gt;*Elaborare proiect de diplom?*",$B$32,"&lt;&gt;*op?ional*",$B$32,"&lt;&gt;*Disciplin? facultativ?*", $B$32,"&lt;&gt;*Examen de diplom?*"),ROUND($G$34/14,1),"")</f>
        <v>2</v>
      </c>
      <c r="BB482" s="205">
        <f>IF(COUNTIFS($B$32,"&lt;&gt;"&amp;"",$B$32,"&lt;&gt;practic?*",$B$32,"&lt;&gt;*Elaborare proiect de diplom?*",$B$32,"&lt;&gt;*op?ional*",$B$32,"&lt;&gt;*Disciplin? facultativ?*", $B$32,"&lt;&gt;*Examen de diplom?*"),ROUND(($H$34+$I$34+$J$34)/14,1),"")</f>
        <v>1</v>
      </c>
      <c r="BC482" s="205">
        <f>IF(COUNTIFS($B$32,"&lt;&gt;"&amp;"",$B$32,"&lt;&gt;practic?*",$B$32,"&lt;&gt;*Elaborare proiect de diplom?*",$B$32,"&lt;&gt;*op?ional*",$B$32,"&lt;&gt;*Disciplin? facultativ?*", $B$32,"&lt;&gt;*Examen de diplom?*"),ROUND(($G$34+$H$34+$I$34+$J$34)/14,1),"")</f>
        <v>3</v>
      </c>
      <c r="BD482" s="207">
        <f>IF(COUNTIFS($B$32,"&lt;&gt;"&amp;"",$B$32,"&lt;&gt;practic?*",$B$32,"&lt;&gt;*Elaborare proiect de diplom?*",$B$32,"&lt;&gt;*op?ional*",$B$32,"&lt;&gt;*Disciplin? facultativ?*", $B$32,"&lt;&gt;*Examen de diplom?*"),$G$34,"")</f>
        <v>28</v>
      </c>
      <c r="BE482" s="205">
        <f>IF(COUNTIFS($B$32,"&lt;&gt;"&amp;"",$B$32,"&lt;&gt;practic?*",$B$32,"&lt;&gt;*Elaborare proiect de diplom?*",$B$32,"&lt;&gt;*op?ional*",$B$32,"&lt;&gt;*Disciplin? facultativ?*", $B$32,"&lt;&gt;*Examen de diplom?*"),($H$34+$I$34+$J$34),"")</f>
        <v>14</v>
      </c>
      <c r="BF482" s="205">
        <f>IF(COUNTIFS($B$32,"&lt;&gt;"&amp;"",$B$32,"&lt;&gt;practic?*",$B$32,"&lt;&gt;*Elaborare proiect de diplom?*",$B$32,"&lt;&gt;*op?ional*",$B$32,"&lt;&gt;*Disciplin? facultativ?*", $B$32,"&lt;&gt;*Examen de diplom?*"),($G$34+$H$34+$I$34+$J$34),"")</f>
        <v>42</v>
      </c>
      <c r="BG482" s="203"/>
      <c r="BH482" s="205" t="str">
        <f>IF(COUNTIF($AV482,"=*Elaborare proiect de diplom?*"),ROUND($J$30/14,1),"")</f>
        <v/>
      </c>
      <c r="BI482" s="207">
        <f t="shared" si="24"/>
        <v>0</v>
      </c>
      <c r="BJ482" s="203"/>
      <c r="BK482" s="205" t="str">
        <f>IF(COUNTIF($AV482,"=*Elaborare proiect de diplom?*"),$J$30,"")</f>
        <v/>
      </c>
      <c r="BL482" s="207">
        <f>IF(COUNTIFS($B$32,"&lt;&gt;"&amp;"",$B$32,"&lt;&gt;practic?*",$B$32,"&lt;&gt;*Elaborare proiect de diplom?*",$B$32,"&lt;&gt;*op?ional*",$B$32,"&lt;&gt;*Disciplin? facultativ?*", $B$32,"&lt;&gt;*Examen de diplom?*"),$K$34,"")</f>
        <v>0</v>
      </c>
      <c r="BM482" s="207">
        <f t="shared" si="25"/>
        <v>5.9</v>
      </c>
      <c r="BN482" s="207">
        <f>IF(COUNTIFS($B$32,"&lt;&gt;"&amp;"",$B$32,"&lt;&gt;practic?*",$B$32,"&lt;&gt;*Elaborare proiect de diplom?*",$B$32,"&lt;&gt;*op?ional*",$B$32,"&lt;&gt;*Disciplin? facultativ?*", $B$32,"&lt;&gt;*Examen de diplom?*"),$M$34,"")</f>
        <v>83</v>
      </c>
      <c r="BO482" s="203">
        <f>IF($AV482="","",$E$34)</f>
        <v>5</v>
      </c>
      <c r="BP482" s="215" t="str">
        <f>IF(COUNTIFS($B$28,"&lt;&gt;"&amp;"",$B$28,"&lt;&gt;practic?*",$B$28,"&lt;&gt;*op?ional*",$B$28,"&lt;&gt;*Disciplin? facultativ?*",$B$28,"&lt;&gt;*Examen de diplom?*"),$L$34,"")</f>
        <v>DA</v>
      </c>
      <c r="BQ482" s="207">
        <f t="shared" si="26"/>
        <v>8.9</v>
      </c>
      <c r="BR482" s="203">
        <f>IF($AV$482="","",IF($BF$482&lt;&gt;"",$BF$482,0)+IF($BL$482&lt;&gt;"",$BL$482,0)+IF($BN$482&lt;&gt;"",$BN$482,0))</f>
        <v>125</v>
      </c>
      <c r="BS482" s="209">
        <f t="shared" si="27"/>
        <v>1</v>
      </c>
      <c r="BT482" s="209" t="str">
        <f t="shared" si="28"/>
        <v>2022</v>
      </c>
      <c r="BU482" s="198"/>
      <c r="BV482" s="198"/>
      <c r="BW482" s="198"/>
      <c r="BX482" s="203">
        <f>SUM(G34:J34)</f>
        <v>42</v>
      </c>
      <c r="BY482" s="502"/>
      <c r="BZ482" s="198"/>
      <c r="CA482" s="198"/>
      <c r="CB482" s="335"/>
      <c r="CC482" s="335"/>
      <c r="CD482" s="335"/>
      <c r="CE482" s="335"/>
      <c r="CF482" s="198"/>
      <c r="CG482" s="199"/>
      <c r="CH482" s="199"/>
      <c r="CI482" s="199"/>
      <c r="CJ482" s="198"/>
      <c r="CK482" s="198"/>
      <c r="CL482" s="198"/>
      <c r="CM482" s="198"/>
      <c r="CN482" s="198"/>
      <c r="CO482" s="198"/>
      <c r="CP482" s="198"/>
      <c r="CQ482" s="198"/>
      <c r="CR482" s="198"/>
      <c r="CS482" s="199"/>
      <c r="CT482" s="199"/>
    </row>
    <row r="483" spans="1:98"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M60.22.01.S5-ij</v>
      </c>
      <c r="AU483" s="203">
        <v>5</v>
      </c>
      <c r="AV483" s="205" t="str">
        <f>IF(COUNTIFS($B$35,"&lt;&gt;"&amp;"",$B$35,"&lt;&gt;*op?ional*",$B$35,"&lt;&gt;*Disciplin? facultativ?*"),$B$35,"")</f>
        <v/>
      </c>
      <c r="AW483" s="205" t="str">
        <f t="shared" si="21"/>
        <v/>
      </c>
      <c r="AX483" s="205" t="str">
        <f t="shared" si="22"/>
        <v/>
      </c>
      <c r="AY483" s="205" t="str">
        <f>IF($AV483="","",$F$37)</f>
        <v/>
      </c>
      <c r="AZ483" s="205" t="str">
        <f t="shared" si="23"/>
        <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4"/>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5"/>
        <v>#VALUE!</v>
      </c>
      <c r="BN483" s="207" t="str">
        <f>IF(COUNTIFS($B$35,"&lt;&gt;"&amp;"",$B$35,"&lt;&gt;practic?*",$B$35,"&lt;&gt;*Elaborare proiect de diplom?*",$B$35,"&lt;&gt;*op?ional*",$B$35,"&lt;&gt;*Disciplin? facultativ?*", $B$35,"&lt;&gt;*Examen de diplom?*"),$M$37,"")</f>
        <v/>
      </c>
      <c r="BO483" s="203" t="str">
        <f>IF($AV483="","",$E$37)</f>
        <v/>
      </c>
      <c r="BP483" s="215" t="str">
        <f>IF(COUNTIFS($B$31,"&lt;&gt;"&amp;"",$B$31,"&lt;&gt;practic?*",$B$31,"&lt;&gt;*op?ional*",$B$31,"&lt;&gt;*Disciplin? facultativ?*",$B$31,"&lt;&gt;*Examen de diplom?*"),$L$37,"")</f>
        <v>DS</v>
      </c>
      <c r="BQ483" s="207" t="str">
        <f t="shared" si="26"/>
        <v/>
      </c>
      <c r="BR483" s="203" t="str">
        <f>IF($AV$483="","",IF($BF$483&lt;&gt;"",$BF$483,0)+IF($BL$483&lt;&gt;"",$BL$483,0)+IF($BN$483&lt;&gt;"",$BN$483,0))</f>
        <v/>
      </c>
      <c r="BS483" s="209">
        <f t="shared" si="27"/>
        <v>0</v>
      </c>
      <c r="BT483" s="209" t="str">
        <f t="shared" si="28"/>
        <v/>
      </c>
      <c r="BU483" s="198"/>
      <c r="BV483" s="198"/>
      <c r="BW483" s="198"/>
      <c r="BX483" s="203">
        <f>SUM(G37:J37)</f>
        <v>28</v>
      </c>
      <c r="BY483" s="502"/>
      <c r="BZ483" s="198"/>
      <c r="CA483" s="198"/>
      <c r="CB483" s="335"/>
      <c r="CC483" s="335"/>
      <c r="CD483" s="335"/>
      <c r="CE483" s="335"/>
      <c r="CF483" s="198"/>
      <c r="CG483" s="199"/>
      <c r="CH483" s="199"/>
      <c r="CI483" s="199"/>
      <c r="CJ483" s="198"/>
      <c r="CK483" s="198"/>
      <c r="CL483" s="198"/>
      <c r="CM483" s="198"/>
      <c r="CN483" s="198"/>
      <c r="CO483" s="198"/>
      <c r="CP483" s="198"/>
      <c r="CQ483" s="198"/>
      <c r="CR483" s="198"/>
      <c r="CS483" s="199"/>
      <c r="CT483" s="199"/>
    </row>
    <row r="484" spans="1:98"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M60.22.01.S6-ij</v>
      </c>
      <c r="AU484" s="203">
        <v>6</v>
      </c>
      <c r="AV484" s="205" t="str">
        <f>IF(COUNTIFS($B$38,"&lt;&gt;"&amp;"",$B$38,"&lt;&gt;*op?ional*",$B$38,"&lt;&gt;*Disciplin? facultativ?*"),$B$38,"")</f>
        <v/>
      </c>
      <c r="AW484" s="205" t="str">
        <f t="shared" si="21"/>
        <v/>
      </c>
      <c r="AX484" s="205" t="str">
        <f t="shared" si="22"/>
        <v/>
      </c>
      <c r="AY484" s="205" t="str">
        <f>IF($AV484="","",$F$40)</f>
        <v/>
      </c>
      <c r="AZ484" s="205" t="str">
        <f t="shared" si="23"/>
        <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4"/>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5"/>
        <v>#VALUE!</v>
      </c>
      <c r="BN484" s="207" t="str">
        <f>IF(COUNTIFS($B$38,"&lt;&gt;"&amp;"",$B$38,"&lt;&gt;practic?*",$B$38,"&lt;&gt;*Elaborare proiect de diplom?*",$B$38,"&lt;&gt;*op?ional*",$B$38,"&lt;&gt;*Disciplin? facultativ?*", $B$38,"&lt;&gt;*Examen de diplom?*"),$M$40,"")</f>
        <v/>
      </c>
      <c r="BO484" s="203" t="str">
        <f>IF($AV484="","",$E$40)</f>
        <v/>
      </c>
      <c r="BP484" s="215" t="str">
        <f>IF(COUNTIFS($B$34,"&lt;&gt;"&amp;"",$B$34,"&lt;&gt;practic?*",$B$34,"&lt;&gt;*op?ional*",$B$34,"&lt;&gt;*Disciplin? facultativ?*",$B$34,"&lt;&gt;*Examen de diplom?*"),$L$40,"")</f>
        <v>DS</v>
      </c>
      <c r="BQ484" s="207" t="str">
        <f t="shared" si="26"/>
        <v/>
      </c>
      <c r="BR484" s="203" t="str">
        <f>IF($AV$484="","",IF($BF$484&lt;&gt;"",$BF$484,0)+IF($BL$484&lt;&gt;"",$BL$484,0)+IF($BN$484&lt;&gt;"",$BN$484,0))</f>
        <v/>
      </c>
      <c r="BS484" s="209">
        <f t="shared" si="27"/>
        <v>0</v>
      </c>
      <c r="BT484" s="209" t="str">
        <f t="shared" si="28"/>
        <v/>
      </c>
      <c r="BU484" s="198"/>
      <c r="BV484" s="198"/>
      <c r="BW484" s="198"/>
      <c r="BX484" s="203">
        <f>SUM(G40:J40)</f>
        <v>28</v>
      </c>
      <c r="BY484" s="502"/>
      <c r="BZ484" s="198"/>
      <c r="CA484" s="198"/>
      <c r="CB484" s="335"/>
      <c r="CC484" s="335"/>
      <c r="CD484" s="335"/>
      <c r="CE484" s="335"/>
      <c r="CF484" s="198"/>
      <c r="CG484" s="199"/>
      <c r="CH484" s="199"/>
      <c r="CI484" s="199"/>
      <c r="CJ484" s="198"/>
      <c r="CK484" s="198"/>
      <c r="CL484" s="198"/>
      <c r="CM484" s="198"/>
      <c r="CN484" s="198"/>
      <c r="CO484" s="198"/>
      <c r="CP484" s="198"/>
      <c r="CQ484" s="198"/>
      <c r="CR484" s="198"/>
      <c r="CS484" s="199"/>
      <c r="CT484" s="199"/>
    </row>
    <row r="485" spans="1:98"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1"/>
        <v/>
      </c>
      <c r="AX485" s="205" t="str">
        <f t="shared" si="22"/>
        <v/>
      </c>
      <c r="AY485" s="205" t="str">
        <f>IF($AV485="","",$F$43)</f>
        <v/>
      </c>
      <c r="AZ485" s="205" t="str">
        <f t="shared" si="23"/>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4"/>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5"/>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6"/>
        <v/>
      </c>
      <c r="BR485" s="203" t="str">
        <f>IF($AV$485="","",IF($BF$485&lt;&gt;"",$BF$485,0)+IF($BL$485&lt;&gt;"",$BL$485,0)+IF($BN$485&lt;&gt;"",$BN$485,0))</f>
        <v/>
      </c>
      <c r="BS485" s="209">
        <f t="shared" si="27"/>
        <v>0</v>
      </c>
      <c r="BT485" s="209" t="str">
        <f t="shared" si="28"/>
        <v/>
      </c>
      <c r="BU485" s="198"/>
      <c r="BV485" s="198"/>
      <c r="BW485" s="198"/>
      <c r="BX485" s="203">
        <f>SUM(G43:J43)</f>
        <v>0</v>
      </c>
      <c r="BY485" s="502"/>
      <c r="BZ485" s="198"/>
      <c r="CA485" s="198"/>
      <c r="CB485" s="335"/>
      <c r="CC485" s="335"/>
      <c r="CD485" s="335"/>
      <c r="CE485" s="335"/>
      <c r="CF485" s="198"/>
      <c r="CG485" s="199"/>
      <c r="CH485" s="199"/>
      <c r="CI485" s="199"/>
      <c r="CJ485" s="198"/>
      <c r="CK485" s="198"/>
      <c r="CL485" s="198"/>
      <c r="CM485" s="198"/>
      <c r="CN485" s="198"/>
      <c r="CO485" s="198"/>
      <c r="CP485" s="198"/>
      <c r="CQ485" s="198"/>
      <c r="CR485" s="198"/>
      <c r="CS485" s="199"/>
      <c r="CT485" s="199"/>
    </row>
    <row r="486" spans="1:98"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1"/>
        <v/>
      </c>
      <c r="AX486" s="205" t="str">
        <f t="shared" si="22"/>
        <v/>
      </c>
      <c r="AY486" s="205" t="str">
        <f>IF($AV486="","",$F$46)</f>
        <v/>
      </c>
      <c r="AZ486" s="205" t="str">
        <f t="shared" si="23"/>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4"/>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5"/>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6"/>
        <v/>
      </c>
      <c r="BR486" s="203" t="str">
        <f>IF($AV$486="","",IF($BF$486&lt;&gt;"",$BF$486,0)+IF($BL$486&lt;&gt;"",$BL$486,0)+IF($BN$486&lt;&gt;"",$BN$486,0))</f>
        <v/>
      </c>
      <c r="BS486" s="209">
        <f t="shared" si="27"/>
        <v>0</v>
      </c>
      <c r="BT486" s="209" t="str">
        <f t="shared" si="28"/>
        <v/>
      </c>
      <c r="BU486" s="198"/>
      <c r="BV486" s="198"/>
      <c r="BW486" s="198"/>
      <c r="BX486" s="203">
        <f>SUM(G47:J47)</f>
        <v>0</v>
      </c>
      <c r="BY486" s="502"/>
      <c r="BZ486" s="198"/>
      <c r="CA486" s="198"/>
      <c r="CB486" s="335"/>
      <c r="CC486" s="335"/>
      <c r="CD486" s="335"/>
      <c r="CE486" s="335"/>
      <c r="CF486" s="198"/>
      <c r="CG486" s="199"/>
      <c r="CH486" s="199"/>
      <c r="CI486" s="199"/>
      <c r="CJ486" s="198"/>
      <c r="CK486" s="198"/>
      <c r="CL486" s="198"/>
      <c r="CM486" s="198"/>
      <c r="CN486" s="198"/>
      <c r="CO486" s="198"/>
      <c r="CP486" s="198"/>
      <c r="CQ486" s="198"/>
      <c r="CR486" s="198"/>
      <c r="CS486" s="199"/>
      <c r="CT486" s="199"/>
    </row>
    <row r="487" spans="1:98"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1"/>
        <v/>
      </c>
      <c r="AX487" s="205" t="str">
        <f t="shared" si="22"/>
        <v/>
      </c>
      <c r="AY487" s="205" t="str">
        <f>IF($AV487="","",$F$49)</f>
        <v/>
      </c>
      <c r="AZ487" s="205" t="str">
        <f t="shared" si="23"/>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4"/>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5"/>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6"/>
        <v/>
      </c>
      <c r="BR487" s="203" t="str">
        <f>IF($AV$487="","",IF($BF$487&lt;&gt;"",$BF$487,0)+IF($BL$487&lt;&gt;"",$BL$487,0)+IF($BN$487&lt;&gt;"",$BN$487,0))</f>
        <v/>
      </c>
      <c r="BS487" s="209">
        <f t="shared" si="27"/>
        <v>0</v>
      </c>
      <c r="BT487" s="209" t="str">
        <f t="shared" si="28"/>
        <v/>
      </c>
      <c r="BU487" s="198"/>
      <c r="BV487" s="198"/>
      <c r="BW487" s="198"/>
      <c r="BX487" s="203"/>
      <c r="BY487" s="502"/>
      <c r="BZ487" s="198"/>
      <c r="CA487" s="198"/>
      <c r="CB487" s="335"/>
      <c r="CC487" s="335"/>
      <c r="CD487" s="335"/>
      <c r="CE487" s="335"/>
      <c r="CF487" s="198"/>
      <c r="CG487" s="199"/>
      <c r="CH487" s="199"/>
      <c r="CI487" s="199"/>
      <c r="CJ487" s="198"/>
      <c r="CK487" s="198"/>
      <c r="CL487" s="198"/>
      <c r="CM487" s="198"/>
      <c r="CN487" s="198"/>
      <c r="CO487" s="198"/>
      <c r="CP487" s="198"/>
      <c r="CQ487" s="198"/>
      <c r="CR487" s="198"/>
      <c r="CS487" s="199"/>
      <c r="CT487" s="199"/>
    </row>
    <row r="488" spans="1:98"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90" t="s">
        <v>186</v>
      </c>
      <c r="AU488" s="506"/>
      <c r="AV488" s="506"/>
      <c r="AW488" s="506"/>
      <c r="AX488" s="506"/>
      <c r="AY488" s="506"/>
      <c r="AZ488" s="506"/>
      <c r="BA488" s="506"/>
      <c r="BB488" s="506"/>
      <c r="BC488" s="506"/>
      <c r="BD488" s="506"/>
      <c r="BE488" s="506"/>
      <c r="BF488" s="506"/>
      <c r="BG488" s="506"/>
      <c r="BH488" s="506"/>
      <c r="BI488" s="506"/>
      <c r="BJ488" s="506"/>
      <c r="BK488" s="506"/>
      <c r="BL488" s="506"/>
      <c r="BM488" s="506"/>
      <c r="BN488" s="506"/>
      <c r="BO488" s="506"/>
      <c r="BP488" s="506"/>
      <c r="BQ488" s="506"/>
      <c r="BR488" s="507"/>
      <c r="BS488" s="203"/>
      <c r="BT488" s="209" t="str">
        <f t="shared" si="28"/>
        <v/>
      </c>
      <c r="BU488" s="198"/>
      <c r="BV488" s="198"/>
      <c r="BW488" s="198"/>
      <c r="BX488" s="203"/>
      <c r="BY488" s="203"/>
      <c r="BZ488" s="198"/>
      <c r="CA488" s="198"/>
      <c r="CB488" s="335"/>
      <c r="CC488" s="335"/>
      <c r="CD488" s="335"/>
      <c r="CE488" s="335"/>
      <c r="CF488" s="198"/>
      <c r="CG488" s="199"/>
      <c r="CH488" s="199"/>
      <c r="CI488" s="199"/>
      <c r="CJ488" s="198"/>
      <c r="CK488" s="198"/>
      <c r="CL488" s="198"/>
      <c r="CM488" s="198"/>
      <c r="CN488" s="198"/>
      <c r="CO488" s="198"/>
      <c r="CP488" s="198"/>
      <c r="CQ488" s="198"/>
      <c r="CR488" s="198"/>
      <c r="CS488" s="199"/>
      <c r="CT488" s="199"/>
    </row>
    <row r="489" spans="1:98"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M60.22.02.S1</v>
      </c>
      <c r="AU489" s="205">
        <v>1</v>
      </c>
      <c r="AV489" s="205" t="str">
        <f>IF(COUNTIFS($N$23,"&lt;&gt;"&amp;"",$N$23,"&lt;&gt;*op?ional*",$N$23,"&lt;&gt;*Disciplin? facultativ?*"),$N$23,"")</f>
        <v>Arhitectură de interior 2</v>
      </c>
      <c r="AW489" s="205">
        <f t="shared" ref="AW489:AW497" si="29">IF($AV489="","",ROUND(RIGHT($N$22,1)/2,0))</f>
        <v>1</v>
      </c>
      <c r="AX489" s="205" t="str">
        <f t="shared" ref="AX489:AX497" si="30">IF($AV489="","",RIGHT($N$22,1))</f>
        <v>2</v>
      </c>
      <c r="AY489" s="205" t="str">
        <f>IF($AV489="","",$R$25)</f>
        <v>D</v>
      </c>
      <c r="AZ489" s="205" t="str">
        <f>IF($AV489="","","DI")</f>
        <v>DI</v>
      </c>
      <c r="BA489" s="205">
        <f>IF(COUNTIFS($N$23,"&lt;&gt;"&amp;"",$N$23,"&lt;&gt;practic?*",$N$23,"&lt;&gt;*Elaborare proiect de diplom?*",$N$23,"&lt;&gt;*op?ional*",$N$23,"&lt;&gt;*Disciplin? facultativ?*", $N$23,"&lt;&gt;*Examen de diplom?*"),ROUND($S$25/14,1),"")</f>
        <v>1</v>
      </c>
      <c r="BB489" s="205">
        <f>IF(COUNTIFS($N$23,"&lt;&gt;"&amp;"",$N$23,"&lt;&gt;practic?*",$N$23,"&lt;&gt;*Elaborare proiect de diplom?*",$N$23,"&lt;&gt;*op?ional*",$N$23,"&lt;&gt;*Disciplin? facultativ?*", $N$23,"&lt;&gt;*Examen de diplom?*"),ROUND(($T$25+$U$25+$V$25)/14,1),"")</f>
        <v>3</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14</v>
      </c>
      <c r="BE489" s="205">
        <f>IF(COUNTIFS($N$23,"&lt;&gt;"&amp;"",$N$23,"&lt;&gt;practic?*",$N$23,"&lt;&gt;*Elaborare proiect de diplom?*",$N$23,"&lt;&gt;*op?ional*",$N$23,"&lt;&gt;*Disciplin? facultativ?*", $N$23,"&lt;&gt;*Examen de diplom?*"),($T$25+$U$25+$V$25),"")</f>
        <v>42</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10.3</v>
      </c>
      <c r="BN489" s="207">
        <f>IF(COUNTIFS($B$23,"&lt;&gt;"&amp;"",$B$23,"&lt;&gt;practic?*",$B$23,"&lt;&gt;*Elaborare proiect de diplom?*",$B$23,"&lt;&gt;*op?ional*",$B$23,"&lt;&gt;*Disciplin? facultativ?*", $B$23,"&lt;&gt;*Examen de diplom?*"),$Y$25,"")</f>
        <v>144</v>
      </c>
      <c r="BO489" s="205">
        <f>IF($AV489="","",$Q$25)</f>
        <v>8</v>
      </c>
      <c r="BP489" s="207" t="str">
        <f>IF(COUNTIFS($B$23,"&lt;&gt;"&amp;"",$B$23,"&lt;&gt;practic?*",$B$23,"&lt;&gt;*op?ional*",$B$23,"&lt;&gt;*Disciplin? facultativ?*",$B$23,"&lt;&gt;*Examen de diplom?*"),$X$25,"")</f>
        <v>DS</v>
      </c>
      <c r="BQ489" s="207">
        <f>IF($AV489="","",IF($BC489&lt;&gt;"",$BC489,0)+IF($BI489&lt;&gt;"",$BI489,0)+IF($BM489&lt;&gt;"",$BM489,0))</f>
        <v>14.3</v>
      </c>
      <c r="BR489" s="205">
        <f>IF($AV$479="","",IF($NJ$479&lt;&gt;"",$NJ$479,0)+IF($NP$479&lt;&gt;"",$NP$479,0)+IF($NR$479&lt;&gt;"",$NR$479,0))</f>
        <v>0</v>
      </c>
      <c r="BS489" s="209">
        <f>IF(SUM(BA489:BB489)&gt;0,1,0)</f>
        <v>1</v>
      </c>
      <c r="BT489" s="209" t="str">
        <f t="shared" si="28"/>
        <v>2022</v>
      </c>
      <c r="BU489" s="198"/>
      <c r="BV489" s="198"/>
      <c r="BW489" s="198"/>
      <c r="BX489" s="203">
        <f>SUM(S25:V25)</f>
        <v>56</v>
      </c>
      <c r="BY489" s="502">
        <f>COUNTIF(BX489:BX496,"&gt;0")</f>
        <v>6</v>
      </c>
      <c r="BZ489" s="198"/>
      <c r="CA489" s="198"/>
      <c r="CB489" s="335"/>
      <c r="CC489" s="335"/>
      <c r="CD489" s="335"/>
      <c r="CE489" s="335"/>
      <c r="CF489" s="198"/>
      <c r="CG489" s="199"/>
      <c r="CH489" s="199"/>
      <c r="CI489" s="199"/>
      <c r="CJ489" s="198"/>
      <c r="CK489" s="198"/>
      <c r="CL489" s="198"/>
      <c r="CM489" s="198"/>
      <c r="CN489" s="198"/>
      <c r="CO489" s="198"/>
      <c r="CP489" s="198"/>
      <c r="CQ489" s="198"/>
      <c r="CR489" s="198"/>
      <c r="CS489" s="199"/>
      <c r="CT489" s="199"/>
    </row>
    <row r="490" spans="1:98"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M60.22.02.A2</v>
      </c>
      <c r="AU490" s="203">
        <v>2</v>
      </c>
      <c r="AV490" s="205" t="str">
        <f>IF(COUNTIFS($N$26,"&lt;&gt;"&amp;"",$N$26,"&lt;&gt;*op?ional*",$N$26,"&lt;&gt;*Disciplin? facultativ?*"),$N$26,"")</f>
        <v>Design ambiental-Programe</v>
      </c>
      <c r="AW490" s="205">
        <f t="shared" si="29"/>
        <v>1</v>
      </c>
      <c r="AX490" s="205" t="str">
        <f t="shared" si="30"/>
        <v>2</v>
      </c>
      <c r="AY490" s="205" t="str">
        <f>IF($AV490="","",$R$28)</f>
        <v>E</v>
      </c>
      <c r="AZ490" s="205" t="str">
        <f t="shared" ref="AZ490:AZ497" si="31">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0</v>
      </c>
      <c r="BC490" s="205">
        <f>IF(COUNTIFS($N$26,"&lt;&gt;"&amp;"",$N$26,"&lt;&gt;practic?*",$N$26,"&lt;&gt;*Elaborare proiect de diplom?*",$N$26,"&lt;&gt;*op?ional*",$N$26,"&lt;&gt;*Disciplin? facultativ?*", $N$26,"&lt;&gt;*Examen de diplom?*"),ROUND(($S$28+$T$28+$U$28+$V$28)/14,1),"")</f>
        <v>2</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0</v>
      </c>
      <c r="BF490" s="205">
        <f>IF(COUNTIFS($N$26,"&lt;&gt;"&amp;"",$N$26,"&lt;&gt;practic?*",$N$26,"&lt;&gt;*Elaborare proiect de diplom?*",$N$26,"&lt;&gt;*op?ional*",$N$26,"&lt;&gt;*Disciplin? facultativ?*", $N$26,"&lt;&gt;*Examen de diplom?*"),($S$28+$T$28+$U$28+$V$28),"")</f>
        <v>28</v>
      </c>
      <c r="BG490" s="203"/>
      <c r="BH490" s="205" t="str">
        <f>IF(COUNTIF($AV490,"=*Elaborare proiect de diplom?*"),ROUND($V$24/14,1),"")</f>
        <v/>
      </c>
      <c r="BI490" s="207">
        <f t="shared" ref="BI490:BI497" si="32">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3">ROUND(BN490/14,1)</f>
        <v>3.4</v>
      </c>
      <c r="BN490" s="207">
        <f>IF(COUNTIFS($B$26,"&lt;&gt;"&amp;"",$B$26,"&lt;&gt;practic?*",$B$26,"&lt;&gt;*Elaborare proiect de diplom?*",$B$26,"&lt;&gt;*op?ional*",$B$26,"&lt;&gt;*Disciplin? facultativ?*", $B$26,"&lt;&gt;*Examen de diplom?*"),$Y$28,"")</f>
        <v>47</v>
      </c>
      <c r="BO490" s="329">
        <f>IF($AV490="","",$Q$28)</f>
        <v>3</v>
      </c>
      <c r="BP490" s="215" t="str">
        <f>IF(COUNTIFS($B$22,"&lt;&gt;"&amp;"",$B$22,"&lt;&gt;practic?*",$B$22,"&lt;&gt;*op?ional*",$B$22,"&lt;&gt;*Disciplin? facultativ?*",$B$22,"&lt;&gt;*Examen de diplom?*"),$X$28,"")</f>
        <v>DA</v>
      </c>
      <c r="BQ490" s="207">
        <f t="shared" ref="BQ490:BQ497" si="34">IF($AV490="","",IF($BC490&lt;&gt;"",$BC490,0)+IF($BI490&lt;&gt;"",$BI490,0)+IF($BM490&lt;&gt;"",$BM490,0))</f>
        <v>5.4</v>
      </c>
      <c r="BR490" s="203">
        <f>IF($AV$480="","",IF($NJ$480&lt;&gt;"",$NJ$480,0)+IF($NP$480&lt;&gt;"",$NP$480,0)+IF($NR$480&lt;&gt;"",$NR$480,0))</f>
        <v>0</v>
      </c>
      <c r="BS490" s="209">
        <f t="shared" ref="BS490:BS508" si="35">IF(SUM(BA490:BB490)&gt;0,1,0)</f>
        <v>1</v>
      </c>
      <c r="BT490" s="209" t="str">
        <f t="shared" si="28"/>
        <v>2022</v>
      </c>
      <c r="BU490" s="198"/>
      <c r="BV490" s="198"/>
      <c r="BW490" s="198"/>
      <c r="BX490" s="203">
        <f>SUM(S28:V28)</f>
        <v>28</v>
      </c>
      <c r="BY490" s="502"/>
      <c r="BZ490" s="198"/>
      <c r="CA490" s="198"/>
      <c r="CB490" s="335"/>
      <c r="CC490" s="335"/>
      <c r="CD490" s="335"/>
      <c r="CE490" s="335"/>
      <c r="CF490" s="198"/>
      <c r="CG490" s="199"/>
      <c r="CH490" s="199"/>
      <c r="CI490" s="199"/>
      <c r="CJ490" s="198"/>
      <c r="CK490" s="198"/>
      <c r="CL490" s="198"/>
      <c r="CM490" s="198"/>
      <c r="CN490" s="198"/>
      <c r="CO490" s="198"/>
      <c r="CP490" s="198"/>
      <c r="CQ490" s="198"/>
      <c r="CR490" s="198"/>
      <c r="CS490" s="199"/>
      <c r="CT490" s="199"/>
    </row>
    <row r="491" spans="1:98"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M60.22.02.A3</v>
      </c>
      <c r="AU491" s="203">
        <v>3</v>
      </c>
      <c r="AV491" s="205" t="str">
        <f>IF(COUNTIFS($N$29,"&lt;&gt;"&amp;"",$N$29,"&lt;&gt;*op?ional*",$N$29,"&lt;&gt;*Disciplin? facultativ?*"),$N$29,"")</f>
        <v>Echipamente şi instalaţii</v>
      </c>
      <c r="AW491" s="205">
        <f t="shared" si="29"/>
        <v>1</v>
      </c>
      <c r="AX491" s="205" t="str">
        <f t="shared" si="30"/>
        <v>2</v>
      </c>
      <c r="AY491" s="205" t="str">
        <f>IF($AV491="","",$R$31)</f>
        <v>E</v>
      </c>
      <c r="AZ491" s="205" t="str">
        <f t="shared" si="31"/>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1</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14</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2"/>
        <v>0</v>
      </c>
      <c r="BJ491" s="203"/>
      <c r="BK491" s="205" t="str">
        <f>IF(COUNTIF($AV491,"=*Elaborare proiect de diplom?*"),$V$27,"")</f>
        <v/>
      </c>
      <c r="BL491" s="207">
        <f>IF(COUNTIFS($B$29,"&lt;&gt;"&amp;"",$B$29,"&lt;&gt;practic?*",$B$29,"&lt;&gt;*Elaborare proiect de diplom?*",$B$29,"&lt;&gt;*op?ional*",$B$29,"&lt;&gt;*Disciplin? facultativ?*", $B$29,"&lt;&gt;*Examen de diplom?*"),$W$31,"")</f>
        <v>0</v>
      </c>
      <c r="BM491" s="207">
        <f t="shared" si="33"/>
        <v>5.9</v>
      </c>
      <c r="BN491" s="207">
        <f>IF(COUNTIFS($B$29,"&lt;&gt;"&amp;"",$B$29,"&lt;&gt;practic?*",$B$29,"&lt;&gt;*Elaborare proiect de diplom?*",$B$29,"&lt;&gt;*op?ional*",$B$29,"&lt;&gt;*Disciplin? facultativ?*", $B$29,"&lt;&gt;*Examen de diplom?*"),$Y$31,"")</f>
        <v>83</v>
      </c>
      <c r="BO491" s="329">
        <f>IF($AV491="","",$Q$31)</f>
        <v>5</v>
      </c>
      <c r="BP491" s="215" t="str">
        <f>IF(COUNTIFS($B$25,"&lt;&gt;"&amp;"",$B$25,"&lt;&gt;practic?*",$B$25,"&lt;&gt;*op?ional*",$B$25,"&lt;&gt;*Disciplin? facultativ?*",$B$25,"&lt;&gt;*Examen de diplom?*"),$X$31,"")</f>
        <v>DA</v>
      </c>
      <c r="BQ491" s="207">
        <f t="shared" si="34"/>
        <v>8.9</v>
      </c>
      <c r="BR491" s="203">
        <f>IF($AV$481="","",IF($NJ$481&lt;&gt;"",$NJ$481,0)+IF($NP$481&lt;&gt;"",$NP$481,0)+IF($NR$481&lt;&gt;"",$NR$481,0))</f>
        <v>0</v>
      </c>
      <c r="BS491" s="209">
        <f t="shared" si="35"/>
        <v>1</v>
      </c>
      <c r="BT491" s="209" t="str">
        <f t="shared" si="28"/>
        <v>2022</v>
      </c>
      <c r="BU491" s="198"/>
      <c r="BV491" s="198"/>
      <c r="BW491" s="198"/>
      <c r="BX491" s="203">
        <f>SUM(S31:V31)</f>
        <v>42</v>
      </c>
      <c r="BY491" s="502"/>
      <c r="BZ491" s="198"/>
      <c r="CA491" s="198"/>
      <c r="CB491" s="335"/>
      <c r="CC491" s="335"/>
      <c r="CD491" s="335"/>
      <c r="CE491" s="335"/>
      <c r="CF491" s="198"/>
      <c r="CG491" s="199"/>
      <c r="CH491" s="199"/>
      <c r="CI491" s="199"/>
      <c r="CJ491" s="198"/>
      <c r="CK491" s="198"/>
      <c r="CL491" s="198"/>
      <c r="CM491" s="198"/>
      <c r="CN491" s="198"/>
      <c r="CO491" s="198"/>
      <c r="CP491" s="198"/>
      <c r="CQ491" s="198"/>
      <c r="CR491" s="198"/>
      <c r="CS491" s="199"/>
      <c r="CT491" s="199"/>
    </row>
    <row r="492" spans="1:98"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M60.22.02.A4</v>
      </c>
      <c r="AU492" s="205">
        <v>4</v>
      </c>
      <c r="AV492" s="205" t="str">
        <f>IF(COUNTIFS($N$32,"&lt;&gt;"&amp;"",$N$32,"&lt;&gt;*op?ional*",$N$32,"&lt;&gt;*Disciplin? facultativ?*"),$N$32,"")</f>
        <v>Scenografie</v>
      </c>
      <c r="AW492" s="205">
        <f t="shared" si="29"/>
        <v>1</v>
      </c>
      <c r="AX492" s="205" t="str">
        <f t="shared" si="30"/>
        <v>2</v>
      </c>
      <c r="AY492" s="205" t="str">
        <f>IF($AV492="","",$R$34)</f>
        <v>E</v>
      </c>
      <c r="AZ492" s="205" t="str">
        <f t="shared" si="31"/>
        <v>DI</v>
      </c>
      <c r="BA492" s="205">
        <f>IF(COUNTIFS($N$32,"&lt;&gt;"&amp;"",$N$32,"&lt;&gt;practic?*",$N$32,"&lt;&gt;*Elaborare proiect de diplom?*",$N$32,"&lt;&gt;*op?ional*",$N$32,"&lt;&gt;*Disciplin? facultativ?*", $N$32,"&lt;&gt;*Examen de diplom?*"),ROUND($S$34/14,1),"")</f>
        <v>2</v>
      </c>
      <c r="BB492" s="205">
        <f>IF(COUNTIFS($N$32,"&lt;&gt;"&amp;"",$N$32,"&lt;&gt;practic?*",$N$32,"&lt;&gt;*Elaborare proiect de diplom?*",$N$32,"&lt;&gt;*op?ional*",$N$32,"&lt;&gt;*Disciplin? facultativ?*", $N$32,"&lt;&gt;*Examen de diplom?*"),ROUND(($T$34+$U$34+$V$34)/14,1),"")</f>
        <v>1</v>
      </c>
      <c r="BC492" s="205">
        <f>IF(COUNTIFS($N$32,"&lt;&gt;"&amp;"",$N$32,"&lt;&gt;practic?*",$N$32,"&lt;&gt;*Elaborare proiect de diplom?*",$N$32,"&lt;&gt;*op?ional*",$N$32,"&lt;&gt;*Disciplin? facultativ?*", $N$32,"&lt;&gt;*Examen de diplom?*"),ROUND(($S$34+$T$34+$U$34+$V$34)/14,1),"")</f>
        <v>3</v>
      </c>
      <c r="BD492" s="207">
        <f>IF(COUNTIFS($N$32,"&lt;&gt;"&amp;"",$N$32,"&lt;&gt;practic?*",$N$32,"&lt;&gt;*Elaborare proiect de diplom?*",$N$32,"&lt;&gt;*op?ional*",$N$32,"&lt;&gt;*Disciplin? facultativ?*", $N$32,"&lt;&gt;*Examen de diplom?*"),$S$34,"")</f>
        <v>28</v>
      </c>
      <c r="BE492" s="205">
        <f>IF(COUNTIFS($N$32,"&lt;&gt;"&amp;"",$N$32,"&lt;&gt;practic?*",$N$32,"&lt;&gt;*Elaborare proiect de diplom?*",$N$32,"&lt;&gt;*op?ional*",$N$32,"&lt;&gt;*Disciplin? facultativ?*", $N$32,"&lt;&gt;*Examen de diplom?*"),($T$34+$U$34+$V$34),"")</f>
        <v>14</v>
      </c>
      <c r="BF492" s="205">
        <f>IF(COUNTIFS($N$32,"&lt;&gt;"&amp;"",$N$32,"&lt;&gt;practic?*",$N$32,"&lt;&gt;*Elaborare proiect de diplom?*",$N$32,"&lt;&gt;*op?ional*",$N$32,"&lt;&gt;*Disciplin? facultativ?*", $N$32,"&lt;&gt;*Examen de diplom?*"),($S$34+$T$34+$U$34+$V$34),"")</f>
        <v>42</v>
      </c>
      <c r="BG492" s="203"/>
      <c r="BH492" s="205" t="str">
        <f>IF(COUNTIF($AV492,"=*Elaborare proiect de diplom?*"),ROUND($V$30/14,1),"")</f>
        <v/>
      </c>
      <c r="BI492" s="207">
        <f t="shared" si="32"/>
        <v>0</v>
      </c>
      <c r="BJ492" s="203"/>
      <c r="BK492" s="205" t="str">
        <f>IF(COUNTIF($AV492,"=*Elaborare proiect de diplom?*"),$V$30,"")</f>
        <v/>
      </c>
      <c r="BL492" s="207">
        <f>IF(COUNTIFS($B$32,"&lt;&gt;"&amp;"",$B$32,"&lt;&gt;practic?*",$B$32,"&lt;&gt;*Elaborare proiect de diplom?*",$B$32,"&lt;&gt;*op?ional*",$B$32,"&lt;&gt;*Disciplin? facultativ?*", $B$32,"&lt;&gt;*Examen de diplom?*"),$W$34,"")</f>
        <v>0</v>
      </c>
      <c r="BM492" s="207">
        <f t="shared" si="33"/>
        <v>4.0999999999999996</v>
      </c>
      <c r="BN492" s="207">
        <f>IF(COUNTIFS($B$32,"&lt;&gt;"&amp;"",$B$32,"&lt;&gt;practic?*",$B$32,"&lt;&gt;*Elaborare proiect de diplom?*",$B$32,"&lt;&gt;*op?ional*",$B$32,"&lt;&gt;*Disciplin? facultativ?*", $B$32,"&lt;&gt;*Examen de diplom?*"),$Y$34,"")</f>
        <v>58</v>
      </c>
      <c r="BO492" s="329">
        <f>IF($AV492="","",$Q$34)</f>
        <v>4</v>
      </c>
      <c r="BP492" s="215" t="str">
        <f>IF(COUNTIFS($B$28,"&lt;&gt;"&amp;"",$B$28,"&lt;&gt;practic?*",$B$28,"&lt;&gt;*op?ional*",$B$28,"&lt;&gt;*Disciplin? facultativ?*",$B$28,"&lt;&gt;*Examen de diplom?*"),$X$34,"")</f>
        <v>DA</v>
      </c>
      <c r="BQ492" s="207">
        <f t="shared" si="34"/>
        <v>7.1</v>
      </c>
      <c r="BR492" s="203">
        <f>IF($AV$482="","",IF($NJ$482&lt;&gt;"",$NJ$482,0)+IF($NP$482&lt;&gt;"",$NP$482,0)+IF($NR$482&lt;&gt;"",$NR$482,0))</f>
        <v>0</v>
      </c>
      <c r="BS492" s="209">
        <f t="shared" si="35"/>
        <v>1</v>
      </c>
      <c r="BT492" s="209" t="str">
        <f t="shared" si="28"/>
        <v>2022</v>
      </c>
      <c r="BU492" s="198"/>
      <c r="BV492" s="198"/>
      <c r="BW492" s="198"/>
      <c r="BX492" s="203">
        <f>SUM(S34:V34)</f>
        <v>42</v>
      </c>
      <c r="BY492" s="502"/>
      <c r="BZ492" s="198"/>
      <c r="CA492" s="198"/>
      <c r="CB492" s="335"/>
      <c r="CC492" s="335"/>
      <c r="CD492" s="335"/>
      <c r="CE492" s="335"/>
      <c r="CF492" s="198"/>
      <c r="CG492" s="199"/>
      <c r="CH492" s="199"/>
      <c r="CI492" s="199"/>
      <c r="CJ492" s="198"/>
      <c r="CK492" s="198"/>
      <c r="CL492" s="198"/>
      <c r="CM492" s="198"/>
      <c r="CN492" s="198"/>
      <c r="CO492" s="198"/>
      <c r="CP492" s="198"/>
      <c r="CQ492" s="198"/>
      <c r="CR492" s="198"/>
      <c r="CS492" s="199"/>
      <c r="CT492" s="199"/>
    </row>
    <row r="493" spans="1:98"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M60.22.02.S5-ij</v>
      </c>
      <c r="AU493" s="203">
        <v>5</v>
      </c>
      <c r="AV493" s="205" t="str">
        <f>IF(COUNTIFS($N$35,"&lt;&gt;"&amp;"",$N$35,"&lt;&gt;*op?ional*",$N$35,"&lt;&gt;*Disciplin? facultativ?*"),$N$35,"")</f>
        <v/>
      </c>
      <c r="AW493" s="205" t="str">
        <f t="shared" si="29"/>
        <v/>
      </c>
      <c r="AX493" s="205" t="str">
        <f t="shared" si="30"/>
        <v/>
      </c>
      <c r="AY493" s="205" t="str">
        <f>IF($AV493="","",$R$37)</f>
        <v/>
      </c>
      <c r="AZ493" s="205" t="str">
        <f t="shared" si="31"/>
        <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2"/>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3"/>
        <v>#VALUE!</v>
      </c>
      <c r="BN493" s="207" t="str">
        <f>IF(COUNTIFS($B$35,"&lt;&gt;"&amp;"",$B$35,"&lt;&gt;practic?*",$B$35,"&lt;&gt;*Elaborare proiect de diplom?*",$B$35,"&lt;&gt;*op?ional*",$B$35,"&lt;&gt;*Disciplin? facultativ?*", $B$35,"&lt;&gt;*Examen de diplom?*"),$Y$37,"")</f>
        <v/>
      </c>
      <c r="BO493" s="329" t="str">
        <f>IF($AV493="","",$Q$37)</f>
        <v/>
      </c>
      <c r="BP493" s="215" t="str">
        <f>IF(COUNTIFS($B$31,"&lt;&gt;"&amp;"",$B$31,"&lt;&gt;practic?*",$B$31,"&lt;&gt;*op?ional*",$B$31,"&lt;&gt;*Disciplin? facultativ?*",$B$31,"&lt;&gt;*Examen de diplom?*"),$X$37,"")</f>
        <v>DS</v>
      </c>
      <c r="BQ493" s="207" t="str">
        <f t="shared" si="34"/>
        <v/>
      </c>
      <c r="BR493" s="203" t="str">
        <f>IF($AV$483="","",IF($NJ$483&lt;&gt;"",$NJ$483,0)+IF($NP$483&lt;&gt;"",$NP$483,0)+IF($NR$483&lt;&gt;"",$NR$483,0))</f>
        <v/>
      </c>
      <c r="BS493" s="209">
        <f t="shared" si="35"/>
        <v>0</v>
      </c>
      <c r="BT493" s="209" t="str">
        <f t="shared" si="28"/>
        <v/>
      </c>
      <c r="BU493" s="198"/>
      <c r="BV493" s="198"/>
      <c r="BW493" s="198"/>
      <c r="BX493" s="203">
        <f>SUM(S37:V37)</f>
        <v>28</v>
      </c>
      <c r="BY493" s="502"/>
      <c r="BZ493" s="198"/>
      <c r="CA493" s="198"/>
      <c r="CB493" s="335"/>
      <c r="CC493" s="335"/>
      <c r="CD493" s="335"/>
      <c r="CE493" s="335"/>
      <c r="CF493" s="198"/>
      <c r="CG493" s="199"/>
      <c r="CH493" s="199"/>
      <c r="CI493" s="199"/>
      <c r="CJ493" s="198"/>
      <c r="CK493" s="198"/>
      <c r="CL493" s="198"/>
      <c r="CM493" s="198"/>
      <c r="CN493" s="198"/>
      <c r="CO493" s="198"/>
      <c r="CP493" s="198"/>
      <c r="CQ493" s="198"/>
      <c r="CR493" s="198"/>
      <c r="CS493" s="199"/>
      <c r="CT493" s="199"/>
    </row>
    <row r="494" spans="1:98"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M60.22.02.S6-ij</v>
      </c>
      <c r="AU494" s="203">
        <v>6</v>
      </c>
      <c r="AV494" s="205" t="str">
        <f>IF(COUNTIFS($N$38,"&lt;&gt;"&amp;"",$N$38,"&lt;&gt;*op?ional*",$N$38,"&lt;&gt;*Disciplin? facultativ?*"),$N$38,"")</f>
        <v/>
      </c>
      <c r="AW494" s="205" t="str">
        <f t="shared" si="29"/>
        <v/>
      </c>
      <c r="AX494" s="205" t="str">
        <f t="shared" si="30"/>
        <v/>
      </c>
      <c r="AY494" s="205" t="str">
        <f>IF($AV494="","",$R$40)</f>
        <v/>
      </c>
      <c r="AZ494" s="205" t="str">
        <f t="shared" si="31"/>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2"/>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3"/>
        <v>#VALUE!</v>
      </c>
      <c r="BN494" s="207" t="str">
        <f>IF(COUNTIFS($B$38,"&lt;&gt;"&amp;"",$B$38,"&lt;&gt;practic?*",$B$38,"&lt;&gt;*Elaborare proiect de diplom?*",$B$38,"&lt;&gt;*op?ional*",$B$38,"&lt;&gt;*Disciplin? facultativ?*", $B$38,"&lt;&gt;*Examen de diplom?*"),$Y$40,"")</f>
        <v/>
      </c>
      <c r="BO494" s="329" t="str">
        <f>IF($AV494="","",$Q$40)</f>
        <v/>
      </c>
      <c r="BP494" s="215" t="str">
        <f>IF(COUNTIFS($B$34,"&lt;&gt;"&amp;"",$B$34,"&lt;&gt;practic?*",$B$34,"&lt;&gt;*op?ional*",$B$34,"&lt;&gt;*Disciplin? facultativ?*",$B$34,"&lt;&gt;*Examen de diplom?*"),$X$40,"")</f>
        <v>DS</v>
      </c>
      <c r="BQ494" s="207" t="str">
        <f t="shared" si="34"/>
        <v/>
      </c>
      <c r="BR494" s="203" t="str">
        <f>IF($AV$484="","",IF($NJ$484&lt;&gt;"",$NJ$484,0)+IF($NP$484&lt;&gt;"",$NP$484,0)+IF($NR$484&lt;&gt;"",$NR$484,0))</f>
        <v/>
      </c>
      <c r="BS494" s="209">
        <f t="shared" si="35"/>
        <v>0</v>
      </c>
      <c r="BT494" s="209" t="str">
        <f t="shared" si="28"/>
        <v/>
      </c>
      <c r="BU494" s="198"/>
      <c r="BV494" s="198"/>
      <c r="BW494" s="198"/>
      <c r="BX494" s="203">
        <f>SUM(S40:V40)</f>
        <v>28</v>
      </c>
      <c r="BY494" s="502"/>
      <c r="BZ494" s="198"/>
      <c r="CA494" s="198"/>
      <c r="CB494" s="335"/>
      <c r="CC494" s="335"/>
      <c r="CD494" s="335"/>
      <c r="CE494" s="335"/>
      <c r="CF494" s="198"/>
      <c r="CG494" s="199"/>
      <c r="CH494" s="199"/>
      <c r="CI494" s="199"/>
      <c r="CJ494" s="198"/>
      <c r="CK494" s="198"/>
      <c r="CL494" s="198"/>
      <c r="CM494" s="198"/>
      <c r="CN494" s="198"/>
      <c r="CO494" s="198"/>
      <c r="CP494" s="198"/>
      <c r="CQ494" s="198"/>
      <c r="CR494" s="198"/>
      <c r="CS494" s="199"/>
      <c r="CT494" s="199"/>
    </row>
    <row r="495" spans="1:98"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M60.22.02.S7</v>
      </c>
      <c r="AU495" s="205">
        <v>7</v>
      </c>
      <c r="AV495" s="205" t="str">
        <f>IF(COUNTIFS($N$41,"&lt;&gt;"&amp;"",$N$41,"&lt;&gt;*op?ional*",$N$41,"&lt;&gt;*Disciplin? facultativ?*"),$N$41,"")</f>
        <v>Practică profesională 1</v>
      </c>
      <c r="AW495" s="205">
        <f t="shared" si="29"/>
        <v>1</v>
      </c>
      <c r="AX495" s="205" t="str">
        <f t="shared" si="30"/>
        <v>2</v>
      </c>
      <c r="AY495" s="205" t="str">
        <f>IF($AV495="","",$R$43)</f>
        <v>D</v>
      </c>
      <c r="AZ495" s="205" t="str">
        <f t="shared" si="31"/>
        <v>DI</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2"/>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3"/>
        <v>#VALUE!</v>
      </c>
      <c r="BN495" s="207" t="str">
        <f>IF(COUNTIFS($B$41,"&lt;&gt;"&amp;"",$B$41,"&lt;&gt;practic?*",$B$41,"&lt;&gt;*Elaborare proiect de diplom?*",$B$41,"&lt;&gt;*op?ional*",$B$41,"&lt;&gt;*Disciplin? facultativ?*", $B$41,"&lt;&gt;*Examen de diplom?*"),$Y$43,"")</f>
        <v/>
      </c>
      <c r="BO495" s="329">
        <f>IF($AV495="","",$Q$43)</f>
        <v>4</v>
      </c>
      <c r="BP495" s="215" t="str">
        <f>IF(COUNTIFS($B$37,"&lt;&gt;"&amp;"",$B$37,"&lt;&gt;practic?*",$B$37,"&lt;&gt;*op?ional*",$B$37,"&lt;&gt;*Disciplin? facultativ?*",$B$37,"&lt;&gt;*Examen de diplom?*"),$X$43,"")</f>
        <v>DS</v>
      </c>
      <c r="BQ495" s="207" t="e">
        <f t="shared" si="34"/>
        <v>#VALUE!</v>
      </c>
      <c r="BR495" s="203" t="str">
        <f>IF($AV$485="","",IF($NJ$485&lt;&gt;"",$NJ$485,0)+IF($NP$485&lt;&gt;"",$NP$485,0)+IF($NR$485&lt;&gt;"",$NR$485,0))</f>
        <v/>
      </c>
      <c r="BS495" s="209">
        <f t="shared" si="35"/>
        <v>0</v>
      </c>
      <c r="BT495" s="209" t="str">
        <f t="shared" si="28"/>
        <v>2022</v>
      </c>
      <c r="BU495" s="198"/>
      <c r="BV495" s="198"/>
      <c r="BW495" s="198"/>
      <c r="BX495" s="203">
        <f>SUM(S43:V43)</f>
        <v>0</v>
      </c>
      <c r="BY495" s="502"/>
      <c r="BZ495" s="198"/>
      <c r="CA495" s="198"/>
      <c r="CB495" s="335"/>
      <c r="CC495" s="335"/>
      <c r="CD495" s="335"/>
      <c r="CE495" s="335"/>
      <c r="CF495" s="198"/>
      <c r="CG495" s="199"/>
      <c r="CH495" s="199"/>
      <c r="CI495" s="199"/>
      <c r="CJ495" s="198"/>
      <c r="CK495" s="198"/>
      <c r="CL495" s="198"/>
      <c r="CM495" s="198"/>
      <c r="CN495" s="198"/>
      <c r="CO495" s="198"/>
      <c r="CP495" s="198"/>
      <c r="CQ495" s="198"/>
      <c r="CR495" s="198"/>
      <c r="CS495" s="199"/>
      <c r="CT495" s="199"/>
    </row>
    <row r="496" spans="1:98"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9"/>
        <v/>
      </c>
      <c r="AX496" s="205" t="str">
        <f t="shared" si="30"/>
        <v/>
      </c>
      <c r="AY496" s="205" t="str">
        <f>IF($AV496="","",$R$46)</f>
        <v/>
      </c>
      <c r="AZ496" s="205" t="str">
        <f t="shared" si="31"/>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2"/>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3"/>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4"/>
        <v/>
      </c>
      <c r="BR496" s="203" t="str">
        <f>IF($AV$486="","",IF($NJ$486&lt;&gt;"",$NJ$486,0)+IF($NP$486&lt;&gt;"",$NP$486,0)+IF($NR$486&lt;&gt;"",$NR$486,0))</f>
        <v/>
      </c>
      <c r="BS496" s="209">
        <f t="shared" si="35"/>
        <v>0</v>
      </c>
      <c r="BT496" s="209" t="str">
        <f t="shared" si="28"/>
        <v/>
      </c>
      <c r="BU496" s="198"/>
      <c r="BV496" s="198"/>
      <c r="BW496" s="198"/>
      <c r="BX496" s="203">
        <f>SUM(S47:V47)</f>
        <v>0</v>
      </c>
      <c r="BY496" s="502"/>
      <c r="BZ496" s="198"/>
      <c r="CA496" s="198"/>
      <c r="CB496" s="335"/>
      <c r="CC496" s="335"/>
      <c r="CD496" s="335"/>
      <c r="CE496" s="335"/>
      <c r="CF496" s="198"/>
      <c r="CG496" s="199"/>
      <c r="CH496" s="199"/>
      <c r="CI496" s="199"/>
      <c r="CJ496" s="198"/>
      <c r="CK496" s="198"/>
      <c r="CL496" s="198"/>
      <c r="CM496" s="198"/>
      <c r="CN496" s="198"/>
      <c r="CO496" s="198"/>
      <c r="CP496" s="198"/>
      <c r="CQ496" s="198"/>
      <c r="CR496" s="198"/>
      <c r="CS496" s="199"/>
      <c r="CT496" s="199"/>
    </row>
    <row r="497" spans="2:98"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9"/>
        <v/>
      </c>
      <c r="AX497" s="205" t="str">
        <f t="shared" si="30"/>
        <v/>
      </c>
      <c r="AY497" s="205" t="str">
        <f>IF($AV497="","",$R$49)</f>
        <v/>
      </c>
      <c r="AZ497" s="205" t="str">
        <f t="shared" si="31"/>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2"/>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3"/>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4"/>
        <v/>
      </c>
      <c r="BR497" s="203" t="str">
        <f>IF($AV$487="","",IF($NJ$487&lt;&gt;"",$NJ$487,0)+IF($NP$487&lt;&gt;"",$NP$487,0)+IF($NR$487&lt;&gt;"",$NR$487,0))</f>
        <v/>
      </c>
      <c r="BS497" s="209">
        <f t="shared" si="35"/>
        <v>0</v>
      </c>
      <c r="BT497" s="209" t="str">
        <f t="shared" si="28"/>
        <v/>
      </c>
      <c r="BU497" s="198"/>
      <c r="BV497" s="198"/>
      <c r="BW497" s="198"/>
      <c r="BX497" s="203"/>
      <c r="BY497" s="502"/>
      <c r="BZ497" s="198"/>
      <c r="CA497" s="198"/>
      <c r="CB497" s="335"/>
      <c r="CC497" s="335"/>
      <c r="CD497" s="335"/>
      <c r="CE497" s="335"/>
      <c r="CF497" s="198"/>
      <c r="CG497" s="199"/>
      <c r="CH497" s="199"/>
      <c r="CI497" s="199"/>
      <c r="CJ497" s="198"/>
      <c r="CK497" s="198"/>
      <c r="CL497" s="198"/>
      <c r="CM497" s="198"/>
      <c r="CN497" s="198"/>
      <c r="CO497" s="198"/>
      <c r="CP497" s="198"/>
      <c r="CQ497" s="198"/>
      <c r="CR497" s="198"/>
      <c r="CS497" s="199"/>
      <c r="CT497" s="199"/>
    </row>
    <row r="498" spans="2:98"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90" t="s">
        <v>187</v>
      </c>
      <c r="AU498" s="506"/>
      <c r="AV498" s="506"/>
      <c r="AW498" s="506"/>
      <c r="AX498" s="506"/>
      <c r="AY498" s="506"/>
      <c r="AZ498" s="506"/>
      <c r="BA498" s="506"/>
      <c r="BB498" s="506"/>
      <c r="BC498" s="506"/>
      <c r="BD498" s="506"/>
      <c r="BE498" s="506"/>
      <c r="BF498" s="506"/>
      <c r="BG498" s="506"/>
      <c r="BH498" s="506"/>
      <c r="BI498" s="506"/>
      <c r="BJ498" s="506"/>
      <c r="BK498" s="506"/>
      <c r="BL498" s="506"/>
      <c r="BM498" s="506"/>
      <c r="BN498" s="506"/>
      <c r="BO498" s="506"/>
      <c r="BP498" s="506"/>
      <c r="BQ498" s="506"/>
      <c r="BR498" s="507"/>
      <c r="BS498" s="209">
        <f t="shared" si="35"/>
        <v>0</v>
      </c>
      <c r="BT498" s="209" t="str">
        <f t="shared" si="28"/>
        <v/>
      </c>
      <c r="BU498" s="198"/>
      <c r="BV498" s="198"/>
      <c r="BW498" s="198"/>
      <c r="BX498" s="203"/>
      <c r="BY498" s="203"/>
      <c r="BZ498" s="198"/>
      <c r="CA498" s="198"/>
      <c r="CB498" s="335"/>
      <c r="CC498" s="335"/>
      <c r="CD498" s="335"/>
      <c r="CE498" s="335"/>
      <c r="CF498" s="198"/>
      <c r="CG498" s="199"/>
      <c r="CH498" s="199"/>
      <c r="CI498" s="199"/>
      <c r="CJ498" s="198"/>
      <c r="CK498" s="198"/>
      <c r="CL498" s="198"/>
      <c r="CM498" s="198"/>
      <c r="CN498" s="198"/>
      <c r="CO498" s="198"/>
      <c r="CP498" s="198"/>
      <c r="CQ498" s="198"/>
      <c r="CR498" s="198"/>
      <c r="CS498" s="199"/>
      <c r="CT498" s="199"/>
    </row>
    <row r="499" spans="2:98"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M60.22.03.S1</v>
      </c>
      <c r="AU499" s="205">
        <v>1</v>
      </c>
      <c r="AV499" s="205" t="str">
        <f>IF(COUNTIFS($B$65,"&lt;&gt;"&amp;"",$B$65,"&lt;&gt;*op?ional*",$B$65,"&lt;&gt;*Disciplin? facultativ?*"),$B$65,"")</f>
        <v>Arhitectură de interior 3</v>
      </c>
      <c r="AW499" s="205">
        <f>IF($AV499="","",ROUND(RIGHT($B$64,1)/2,0))</f>
        <v>2</v>
      </c>
      <c r="AX499" s="205" t="str">
        <f>IF($AV499="","",RIGHT($B$64,1))</f>
        <v>3</v>
      </c>
      <c r="AY499" s="205" t="str">
        <f>IF($AV499="","",$F$67)</f>
        <v>D</v>
      </c>
      <c r="AZ499" s="205" t="str">
        <f>IF($AV499="","","DI")</f>
        <v>DI</v>
      </c>
      <c r="BA499" s="205">
        <f>IF(COUNTIFS($B$65,"&lt;&gt;"&amp;"",$B$65,"&lt;&gt;practic?*",$B$65,"&lt;&gt;*Elaborare proiect de diplom?*",$B$65,"&lt;&gt;*op?ional*",$B$65,"&lt;&gt;*Disciplin? facultativ?*", $B$65,"&lt;&gt;*Examen de diplom?*"),ROUND($G$67/14,1),"")</f>
        <v>1</v>
      </c>
      <c r="BB499" s="205">
        <f>IF(COUNTIFS($B$65,"&lt;&gt;"&amp;"",$B$65,"&lt;&gt;practic?*",$B$65,"&lt;&gt;*Elaborare proiect de diplom?*",$B$65,"&lt;&gt;*op?ional*",$B$65,"&lt;&gt;*Disciplin? facultativ?*", $B$65,"&lt;&gt;*Examen de diplom?*"),ROUND(($H$67+$I$67+$J$67)/14,1),"")</f>
        <v>3</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14</v>
      </c>
      <c r="BE499" s="205">
        <f>IF(COUNTIFS($B$65,"&lt;&gt;"&amp;"",$B$65,"&lt;&gt;practic?*",$B$65,"&lt;&gt;*Elaborare proiect de diplom?*",$B$65,"&lt;&gt;*op?ional*",$B$65,"&lt;&gt;*Disciplin? facultativ?*", $B$65,"&lt;&gt;*Examen de diplom?*"),($H$67+$I$67+$J$67),"")</f>
        <v>42</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10.3</v>
      </c>
      <c r="BN499" s="207">
        <f>IF(COUNTIFS($B$65,"&lt;&gt;"&amp;"",$B$65,"&lt;&gt;practic?*",$B$65,"&lt;&gt;*Elaborare proiect de diplom?*",$B$65,"&lt;&gt;*op?ional*",$B$65,"&lt;&gt;*Disciplin? facultativ?*", $B$65,"&lt;&gt;*Examen de diplom?*"),$M$67,"")</f>
        <v>144</v>
      </c>
      <c r="BO499" s="205">
        <f>IF($AV499="","",$E$67)</f>
        <v>8</v>
      </c>
      <c r="BP499" s="207" t="str">
        <f>IF(COUNTIFS($B$65,"&lt;&gt;"&amp;"",$B$65,"&lt;&gt;practic?*",$B$65,"&lt;&gt;*op?ional*",$B$65,"&lt;&gt;*Disciplin? facultativ?*",$B$65,"&lt;&gt;*Examen de diplom?*"),$L$67,"")</f>
        <v>DS</v>
      </c>
      <c r="BQ499" s="207">
        <f>IF($AV499="","",IF($BC499&lt;&gt;"",$BC499,0)+IF($BI499&lt;&gt;"",$BI499,0)+IF($BM499&lt;&gt;"",$BM499,0))</f>
        <v>14.3</v>
      </c>
      <c r="BR499" s="205">
        <f>IF($AV$479="","",IF($BF$479&lt;&gt;"",$BF$479,0)+IF($BL$479&lt;&gt;"",$BL$479,0)+IF($BN$479&lt;&gt;"",$BN$479,0))</f>
        <v>200</v>
      </c>
      <c r="BS499" s="209">
        <f>IF(SUM(BA499:BB499)&gt;0,1,0)</f>
        <v>1</v>
      </c>
      <c r="BT499" s="209" t="str">
        <f t="shared" si="28"/>
        <v>2023</v>
      </c>
      <c r="BU499" s="198"/>
      <c r="BV499" s="198"/>
      <c r="BW499" s="198"/>
      <c r="BX499" s="203">
        <f>SUM(G67:J67)</f>
        <v>56</v>
      </c>
      <c r="BY499" s="502">
        <f>COUNTIF(BX499:BX506,"&gt;0")</f>
        <v>6</v>
      </c>
      <c r="BZ499" s="198"/>
      <c r="CA499" s="198"/>
      <c r="CB499" s="335"/>
      <c r="CC499" s="335"/>
      <c r="CD499" s="335"/>
      <c r="CE499" s="335"/>
      <c r="CF499" s="198"/>
      <c r="CG499" s="199"/>
      <c r="CH499" s="199"/>
      <c r="CI499" s="199"/>
      <c r="CJ499" s="198"/>
      <c r="CK499" s="198"/>
      <c r="CL499" s="198"/>
      <c r="CM499" s="198"/>
      <c r="CN499" s="198"/>
      <c r="CO499" s="198"/>
      <c r="CP499" s="198"/>
      <c r="CQ499" s="198"/>
      <c r="CR499" s="198"/>
      <c r="CS499" s="199"/>
      <c r="CT499" s="199"/>
    </row>
    <row r="500" spans="2:98"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M60.22.03.A2</v>
      </c>
      <c r="AU500" s="203">
        <v>2</v>
      </c>
      <c r="AV500" s="205" t="str">
        <f>IF(COUNTIFS($B$68,"&lt;&gt;"&amp;"",$B$68,"&lt;&gt;*op?ional*",$B$68,"&lt;&gt;*Disciplin? facultativ?*"),$B$68,"")</f>
        <v>Ambient istoric</v>
      </c>
      <c r="AW500" s="205">
        <f t="shared" ref="AW500:AW507" si="36">IF($AV500="","",ROUND(RIGHT($B$64,1)/2,0))</f>
        <v>2</v>
      </c>
      <c r="AX500" s="205" t="str">
        <f t="shared" ref="AX500:AX507" si="37">IF($AV500="","",RIGHT($B$22,1))</f>
        <v>1</v>
      </c>
      <c r="AY500" s="205" t="str">
        <f>IF($AV500="","",$F$70)</f>
        <v>E</v>
      </c>
      <c r="AZ500" s="205" t="str">
        <f t="shared" ref="AZ500:AZ506" si="38">IF($AV500="","","DI")</f>
        <v>DI</v>
      </c>
      <c r="BA500" s="205">
        <f>IF(COUNTIFS($B$68,"&lt;&gt;"&amp;"",$B$68,"&lt;&gt;practic?*",$B$68,"&lt;&gt;*Elaborare proiect de diplom?*",$B$68,"&lt;&gt;*op?ional*",$B$68,"&lt;&gt;*Disciplin? facultativ?*", $B$68,"&lt;&gt;*Examen de diplom?*"),ROUND($G$70/14,1),"")</f>
        <v>1</v>
      </c>
      <c r="BB500" s="205">
        <f>IF(COUNTIFS($B$68,"&lt;&gt;"&amp;"",$B$68,"&lt;&gt;practic?*",$B$68,"&lt;&gt;*Elaborare proiect de diplom?*",$B$68,"&lt;&gt;*op?ional*",$B$68,"&lt;&gt;*Disciplin? facultativ?*", $B$68,"&lt;&gt;*Examen de diplom?*"),ROUND(($H$70+$I$70+$J$70)/14,1),"")</f>
        <v>1</v>
      </c>
      <c r="BC500" s="205">
        <f>IF(COUNTIFS($B$68,"&lt;&gt;"&amp;"",$B$68,"&lt;&gt;practic?*",$B$68,"&lt;&gt;*Elaborare proiect de diplom?*",$B$68,"&lt;&gt;*op?ional*",$B$68,"&lt;&gt;*Disciplin? facultativ?*", $B$68,"&lt;&gt;*Examen de diplom?*"),ROUND(($G$70+$H$70+$I$70+$J$70)/14,1),"")</f>
        <v>2</v>
      </c>
      <c r="BD500" s="207">
        <f>IF(COUNTIFS($B$68,"&lt;&gt;"&amp;"",$B$68,"&lt;&gt;practic?*",$B$68,"&lt;&gt;*Elaborare proiect de diplom?*",$B$68,"&lt;&gt;*op?ional*",$B$68,"&lt;&gt;*Disciplin? facultativ?*", $B$68,"&lt;&gt;*Examen de diplom?*"),$G$70,"")</f>
        <v>14</v>
      </c>
      <c r="BE500" s="205">
        <f>IF(COUNTIFS($B$68,"&lt;&gt;"&amp;"",$B$68,"&lt;&gt;practic?*",$B$68,"&lt;&gt;*Elaborare proiect de diplom?*",$B$68,"&lt;&gt;*op?ional*",$B$68,"&lt;&gt;*Disciplin? facultativ?*", $B$68,"&lt;&gt;*Examen de diplom?*"),($H$70+$I$70+$J$70),"")</f>
        <v>14</v>
      </c>
      <c r="BF500" s="205">
        <f>IF(COUNTIFS($B$68,"&lt;&gt;"&amp;"",$B$68,"&lt;&gt;practic?*",$B$68,"&lt;&gt;*Elaborare proiect de diplom?*",$B$68,"&lt;&gt;*op?ional*",$B$68,"&lt;&gt;*Disciplin? facultativ?*", $B$68,"&lt;&gt;*Examen de diplom?*"),($G$70+$H$70+$I$70+$J$70),"")</f>
        <v>28</v>
      </c>
      <c r="BG500" s="203"/>
      <c r="BH500" s="205" t="str">
        <f>IF(COUNTIF($AV500,"=*Elaborare proiect de diplom?*"),ROUND($J$24/14,1),"")</f>
        <v/>
      </c>
      <c r="BI500" s="207">
        <f t="shared" ref="BI500:BI507" si="39">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40">ROUND(BN500/14,1)</f>
        <v>5.0999999999999996</v>
      </c>
      <c r="BN500" s="207">
        <f>IF(COUNTIFS($B$68,"&lt;&gt;"&amp;"",$B$68,"&lt;&gt;practic?*",$B$68,"&lt;&gt;*Elaborare proiect de diplom?*",$B$68,"&lt;&gt;*op?ional*",$B$68,"&lt;&gt;*Disciplin? facultativ?*", $B$68,"&lt;&gt;*Examen de diplom?*"),$M$70,"")</f>
        <v>72</v>
      </c>
      <c r="BO500" s="329">
        <f>IF($AV500="","",$E$70)</f>
        <v>4</v>
      </c>
      <c r="BP500" s="215" t="str">
        <f>IF(COUNTIFS($B$22,"&lt;&gt;"&amp;"",$B$22,"&lt;&gt;practic?*",$B$22,"&lt;&gt;*op?ional*",$B$22,"&lt;&gt;*Disciplin? facultativ?*",$B$22,"&lt;&gt;*Examen de diplom?*"),$L$70,"")</f>
        <v>DA</v>
      </c>
      <c r="BQ500" s="207">
        <f t="shared" ref="BQ500:BQ507" si="41">IF($AV500="","",IF($BC500&lt;&gt;"",$BC500,0)+IF($BI500&lt;&gt;"",$BI500,0)+IF($BM500&lt;&gt;"",$BM500,0))</f>
        <v>7.1</v>
      </c>
      <c r="BR500" s="203">
        <f>IF($AV$480="","",IF($BF$480&lt;&gt;"",$BF$480,0)+IF($BL$480&lt;&gt;"",$BL$480,0)+IF($BN$480&lt;&gt;"",$BN$480,0))</f>
        <v>100</v>
      </c>
      <c r="BS500" s="209">
        <f t="shared" ref="BS500:BS507" si="42">IF(SUM(BA500:BB500)&gt;0,1,0)</f>
        <v>1</v>
      </c>
      <c r="BT500" s="209" t="str">
        <f t="shared" si="28"/>
        <v>2023</v>
      </c>
      <c r="BU500" s="198"/>
      <c r="BV500" s="198"/>
      <c r="BW500" s="198"/>
      <c r="BX500" s="203">
        <f>SUM(G70:J70)</f>
        <v>28</v>
      </c>
      <c r="BY500" s="502"/>
      <c r="BZ500" s="198"/>
      <c r="CA500" s="198"/>
      <c r="CB500" s="335"/>
      <c r="CC500" s="335"/>
      <c r="CD500" s="335"/>
      <c r="CE500" s="335"/>
      <c r="CF500" s="198"/>
      <c r="CG500" s="199"/>
      <c r="CH500" s="199"/>
      <c r="CI500" s="199"/>
      <c r="CJ500" s="198"/>
      <c r="CK500" s="198"/>
      <c r="CL500" s="198"/>
      <c r="CM500" s="198"/>
      <c r="CN500" s="198"/>
      <c r="CO500" s="198"/>
      <c r="CP500" s="198"/>
      <c r="CQ500" s="198"/>
      <c r="CR500" s="198"/>
      <c r="CS500" s="199"/>
      <c r="CT500" s="199"/>
    </row>
    <row r="501" spans="2:98"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M60.22.03.A3</v>
      </c>
      <c r="AU501" s="203">
        <v>3</v>
      </c>
      <c r="AV501" s="205" t="str">
        <f>IF(COUNTIFS($B$71,"&lt;&gt;"&amp;"",$B$71,"&lt;&gt;*op?ional*",$B$71,"&lt;&gt;*Disciplin? facultativ?*"),$B$71,"")</f>
        <v>Ecodesign</v>
      </c>
      <c r="AW501" s="205">
        <f t="shared" si="36"/>
        <v>2</v>
      </c>
      <c r="AX501" s="205" t="str">
        <f t="shared" si="37"/>
        <v>1</v>
      </c>
      <c r="AY501" s="205" t="str">
        <f>IF($AV501="","",$F$73)</f>
        <v>E</v>
      </c>
      <c r="AZ501" s="205" t="str">
        <f t="shared" si="38"/>
        <v>DI</v>
      </c>
      <c r="BA501" s="205">
        <f>IF(COUNTIFS($B$71,"&lt;&gt;"&amp;"",$B$71,"&lt;&gt;practic?*",$B$71,"&lt;&gt;*Elaborare proiect de diplom?*",$B$71,"&lt;&gt;*op?ional*",$B$71,"&lt;&gt;*Disciplin? facultativ?*", $B$71,"&lt;&gt;*Examen de diplom?*"),ROUND($G$73/14,1),"")</f>
        <v>2</v>
      </c>
      <c r="BB501" s="205">
        <f>IF(COUNTIFS($B$71,"&lt;&gt;"&amp;"",$B$71,"&lt;&gt;practic?*",$B$71,"&lt;&gt;*Elaborare proiect de diplom?*",$B$71,"&lt;&gt;*op?ional*",$B$71,"&lt;&gt;*Disciplin? facultativ?*", $B$71,"&lt;&gt;*Examen de diplom?*"),ROUND(($H$73+$I$73+$J$73)/14,1),"")</f>
        <v>1</v>
      </c>
      <c r="BC501" s="205">
        <f>IF(COUNTIFS($B$71,"&lt;&gt;"&amp;"",$B$71,"&lt;&gt;practic?*",$B$71,"&lt;&gt;*Elaborare proiect de diplom?*",$B$71,"&lt;&gt;*op?ional*",$B$71,"&lt;&gt;*Disciplin? facultativ?*", $B$71,"&lt;&gt;*Examen de diplom?*"),ROUND(($G$73+$H$73+$I$73+$J$73)/14,1),"")</f>
        <v>3</v>
      </c>
      <c r="BD501" s="207">
        <f>IF(COUNTIFS($B$71,"&lt;&gt;"&amp;"",$B$71,"&lt;&gt;practic?*",$B$71,"&lt;&gt;*Elaborare proiect de diplom?*",$B$71,"&lt;&gt;*op?ional*",$B$71,"&lt;&gt;*Disciplin? facultativ?*", $B$71,"&lt;&gt;*Examen de diplom?*"),$G$73,"")</f>
        <v>28</v>
      </c>
      <c r="BE501" s="205">
        <f>IF(COUNTIFS($B$71,"&lt;&gt;"&amp;"",$B$71,"&lt;&gt;practic?*",$B$71,"&lt;&gt;*Elaborare proiect de diplom?*",$B$71,"&lt;&gt;*op?ional*",$B$71,"&lt;&gt;*Disciplin? facultativ?*", $B$71,"&lt;&gt;*Examen de diplom?*"),($H$73+$I$73+$J$73),"")</f>
        <v>14</v>
      </c>
      <c r="BF501" s="205">
        <f>IF(COUNTIFS($B$71,"&lt;&gt;"&amp;"",$B$71,"&lt;&gt;practic?*",$B$71,"&lt;&gt;*Elaborare proiect de diplom?*",$B$71,"&lt;&gt;*op?ional*",$B$71,"&lt;&gt;*Disciplin? facultativ?*", $B$71,"&lt;&gt;*Examen de diplom?*"),($G$73+$H$73+$I$73+$J$73),"")</f>
        <v>42</v>
      </c>
      <c r="BG501" s="203"/>
      <c r="BH501" s="205" t="str">
        <f>IF(COUNTIF($AV501,"=*Elaborare proiect de diplom?*"),ROUND($J$27/14,1),"")</f>
        <v/>
      </c>
      <c r="BI501" s="207">
        <f t="shared" si="39"/>
        <v>0</v>
      </c>
      <c r="BJ501" s="203"/>
      <c r="BK501" s="205" t="str">
        <f>IF(COUNTIF($AV501,"=*Elaborare proiect de diplom?*"),$J$27,"")</f>
        <v/>
      </c>
      <c r="BL501" s="207">
        <f>IF(COUNTIFS($B$71,"&lt;&gt;"&amp;"",$B$71,"&lt;&gt;practic?*",$B$71,"&lt;&gt;*Elaborare proiect de diplom?*",$B$71,"&lt;&gt;*op?ional*",$B$71,"&lt;&gt;*Disciplin? facultativ?*", $B$71,"&lt;&gt;*Examen de diplom?*"),$K$73,"")</f>
        <v>0</v>
      </c>
      <c r="BM501" s="207">
        <f t="shared" si="40"/>
        <v>5.9</v>
      </c>
      <c r="BN501" s="207">
        <f>IF(COUNTIFS($B$71,"&lt;&gt;"&amp;"",$B$71,"&lt;&gt;practic?*",$B$71,"&lt;&gt;*Elaborare proiect de diplom?*",$B$71,"&lt;&gt;*op?ional*",$B$71,"&lt;&gt;*Disciplin? facultativ?*", $B$71,"&lt;&gt;*Examen de diplom?*"),$M$73,"")</f>
        <v>83</v>
      </c>
      <c r="BO501" s="329">
        <f>IF($AV501="","",$E$73)</f>
        <v>5</v>
      </c>
      <c r="BP501" s="215" t="str">
        <f>IF(COUNTIFS($B$25,"&lt;&gt;"&amp;"",$B$25,"&lt;&gt;practic?*",$B$25,"&lt;&gt;*op?ional*",$B$25,"&lt;&gt;*Disciplin? facultativ?*",$B$25,"&lt;&gt;*Examen de diplom?*"),$L$73,"")</f>
        <v>DA</v>
      </c>
      <c r="BQ501" s="207">
        <f t="shared" si="41"/>
        <v>8.9</v>
      </c>
      <c r="BR501" s="203">
        <f>IF($AV$481="","",IF($BF$481&lt;&gt;"",$BF$481,0)+IF($BL$481&lt;&gt;"",$BL$481,0)+IF($BN$481&lt;&gt;"",$BN$481,0))</f>
        <v>125</v>
      </c>
      <c r="BS501" s="209">
        <f t="shared" si="42"/>
        <v>1</v>
      </c>
      <c r="BT501" s="209" t="str">
        <f t="shared" si="28"/>
        <v>2023</v>
      </c>
      <c r="BU501" s="198"/>
      <c r="BV501" s="198"/>
      <c r="BW501" s="198"/>
      <c r="BX501" s="203">
        <f>SUM(G73:J73)</f>
        <v>42</v>
      </c>
      <c r="BY501" s="502"/>
      <c r="BZ501" s="198"/>
      <c r="CA501" s="198"/>
      <c r="CB501" s="335"/>
      <c r="CC501" s="335"/>
      <c r="CD501" s="335"/>
      <c r="CE501" s="335"/>
      <c r="CF501" s="198"/>
      <c r="CG501" s="199"/>
      <c r="CH501" s="199"/>
      <c r="CI501" s="199"/>
      <c r="CJ501" s="198"/>
      <c r="CK501" s="198"/>
      <c r="CL501" s="198"/>
      <c r="CM501" s="198"/>
      <c r="CN501" s="198"/>
      <c r="CO501" s="198"/>
      <c r="CP501" s="198"/>
      <c r="CQ501" s="198"/>
      <c r="CR501" s="198"/>
      <c r="CS501" s="199"/>
      <c r="CT501" s="199"/>
    </row>
    <row r="502" spans="2:98"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M60.22.03.A4</v>
      </c>
      <c r="AU502" s="203">
        <v>4</v>
      </c>
      <c r="AV502" s="205" t="str">
        <f>IF(COUNTIFS($B$74,"&lt;&gt;"&amp;"",$B$74,"&lt;&gt;*op?ional*",$B$74,"&lt;&gt;*Disciplin? facultativ?*"),$B$74,"")</f>
        <v>Psihlologie ambientală</v>
      </c>
      <c r="AW502" s="205">
        <f t="shared" si="36"/>
        <v>2</v>
      </c>
      <c r="AX502" s="205" t="str">
        <f t="shared" si="37"/>
        <v>1</v>
      </c>
      <c r="AY502" s="205" t="str">
        <f>IF($AV502="","",$F$76)</f>
        <v>D</v>
      </c>
      <c r="AZ502" s="205" t="str">
        <f t="shared" si="38"/>
        <v>DI</v>
      </c>
      <c r="BA502" s="205">
        <f>IF(COUNTIFS($B$74,"&lt;&gt;"&amp;"",$B$74,"&lt;&gt;practic?*",$B$74,"&lt;&gt;*Elaborare proiect de diplom?*",$B$74,"&lt;&gt;*op?ional*",$B$74,"&lt;&gt;*Disciplin? facultativ?*", $B$74,"&lt;&gt;*Examen de diplom?*"),ROUND($G$76/14,1),"")</f>
        <v>2</v>
      </c>
      <c r="BB502" s="205">
        <f>IF(COUNTIFS($B$74,"&lt;&gt;"&amp;"",$B$74,"&lt;&gt;practic?*",$B$74,"&lt;&gt;*Elaborare proiect de diplom?*",$B$74,"&lt;&gt;*op?ional*",$B$74,"&lt;&gt;*Disciplin? facultativ?*", $B$74,"&lt;&gt;*Examen de diplom?*"),ROUND(($H$76+$I$76+$J$76)/14,1),"")</f>
        <v>1</v>
      </c>
      <c r="BC502" s="205">
        <f>IF(COUNTIFS($B$74,"&lt;&gt;"&amp;"",$B$74,"&lt;&gt;practic?*",$B$74,"&lt;&gt;*Elaborare proiect de diplom?*",$B$74,"&lt;&gt;*op?ional*",$B$74,"&lt;&gt;*Disciplin? facultativ?*", $B$74,"&lt;&gt;*Examen de diplom?*"),ROUND(($G$76+$H$76+$I$76+$J$76)/14,1),"")</f>
        <v>3</v>
      </c>
      <c r="BD502" s="207">
        <f>IF(COUNTIFS($B$74,"&lt;&gt;"&amp;"",$B$74,"&lt;&gt;practic?*",$B$74,"&lt;&gt;*Elaborare proiect de diplom?*",$B$74,"&lt;&gt;*op?ional*",$B$74,"&lt;&gt;*Disciplin? facultativ?*", $B$74,"&lt;&gt;*Examen de diplom?*"),$G$76,"")</f>
        <v>28</v>
      </c>
      <c r="BE502" s="205">
        <f>IF(COUNTIFS($B$74,"&lt;&gt;"&amp;"",$B$74,"&lt;&gt;practic?*",$B$74,"&lt;&gt;*Elaborare proiect de diplom?*",$B$74,"&lt;&gt;*op?ional*",$B$74,"&lt;&gt;*Disciplin? facultativ?*", $B$74,"&lt;&gt;*Examen de diplom?*"),($H$76+$I$76+$J$76),"")</f>
        <v>14</v>
      </c>
      <c r="BF502" s="205">
        <f>IF(COUNTIFS($B$74,"&lt;&gt;"&amp;"",$B$74,"&lt;&gt;practic?*",$B$74,"&lt;&gt;*Elaborare proiect de diplom?*",$B$74,"&lt;&gt;*op?ional*",$B$74,"&lt;&gt;*Disciplin? facultativ?*", $B$74,"&lt;&gt;*Examen de diplom?*"),($G$76+$H$76+$I$76+$J$76),"")</f>
        <v>42</v>
      </c>
      <c r="BG502" s="203"/>
      <c r="BH502" s="205" t="str">
        <f>IF(COUNTIF($AV502,"=*Elaborare proiect de diplom?*"),ROUND($J$30/14,1),"")</f>
        <v/>
      </c>
      <c r="BI502" s="207">
        <f t="shared" si="39"/>
        <v>0</v>
      </c>
      <c r="BJ502" s="203"/>
      <c r="BK502" s="205" t="str">
        <f>IF(COUNTIF($AV502,"=*Elaborare proiect de diplom?*"),$J$30,"")</f>
        <v/>
      </c>
      <c r="BL502" s="207">
        <f>IF(COUNTIFS($B$74,"&lt;&gt;"&amp;"",$B$74,"&lt;&gt;practic?*",$B$74,"&lt;&gt;*Elaborare proiect de diplom?*",$B$74,"&lt;&gt;*op?ional*",$B$74,"&lt;&gt;*Disciplin? facultativ?*", $B$74,"&lt;&gt;*Examen de diplom?*"),$K$76,"")</f>
        <v>0</v>
      </c>
      <c r="BM502" s="207">
        <f t="shared" si="40"/>
        <v>5.9</v>
      </c>
      <c r="BN502" s="207">
        <f>IF(COUNTIFS($B$74,"&lt;&gt;"&amp;"",$B$74,"&lt;&gt;practic?*",$B$74,"&lt;&gt;*Elaborare proiect de diplom?*",$B$74,"&lt;&gt;*op?ional*",$B$74,"&lt;&gt;*Disciplin? facultativ?*", $B$74,"&lt;&gt;*Examen de diplom?*"),$M$76,"")</f>
        <v>83</v>
      </c>
      <c r="BO502" s="329">
        <f>IF($AV502="","",$E$76)</f>
        <v>5</v>
      </c>
      <c r="BP502" s="215" t="str">
        <f>IF(COUNTIFS($B$28,"&lt;&gt;"&amp;"",$B$28,"&lt;&gt;practic?*",$B$28,"&lt;&gt;*op?ional*",$B$28,"&lt;&gt;*Disciplin? facultativ?*",$B$28,"&lt;&gt;*Examen de diplom?*"),$L$76,"")</f>
        <v>DA</v>
      </c>
      <c r="BQ502" s="207">
        <f t="shared" si="41"/>
        <v>8.9</v>
      </c>
      <c r="BR502" s="203">
        <f>IF($AV$482="","",IF($BF$482&lt;&gt;"",$BF$482,0)+IF($BL$482&lt;&gt;"",$BL$482,0)+IF($BN$482&lt;&gt;"",$BN$482,0))</f>
        <v>125</v>
      </c>
      <c r="BS502" s="209">
        <f t="shared" si="42"/>
        <v>1</v>
      </c>
      <c r="BT502" s="209" t="str">
        <f t="shared" si="28"/>
        <v>2023</v>
      </c>
      <c r="BU502" s="198"/>
      <c r="BV502" s="198"/>
      <c r="BW502" s="198"/>
      <c r="BX502" s="203">
        <f>SUM(G76:J76)</f>
        <v>42</v>
      </c>
      <c r="BY502" s="502"/>
      <c r="BZ502" s="198"/>
      <c r="CA502" s="198"/>
      <c r="CB502" s="335"/>
      <c r="CC502" s="335"/>
      <c r="CD502" s="335"/>
      <c r="CE502" s="335"/>
      <c r="CF502" s="198"/>
      <c r="CG502" s="199"/>
      <c r="CH502" s="199"/>
      <c r="CI502" s="199"/>
      <c r="CJ502" s="198"/>
      <c r="CK502" s="198"/>
      <c r="CL502" s="198"/>
      <c r="CM502" s="198"/>
      <c r="CN502" s="198"/>
      <c r="CO502" s="198"/>
      <c r="CP502" s="198"/>
      <c r="CQ502" s="198"/>
      <c r="CR502" s="198"/>
      <c r="CS502" s="199"/>
      <c r="CT502" s="199"/>
    </row>
    <row r="503" spans="2:98"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M60.22.03.S5-ij</v>
      </c>
      <c r="AU503" s="203">
        <v>5</v>
      </c>
      <c r="AV503" s="205" t="str">
        <f>IF(COUNTIFS($B$77,"&lt;&gt;"&amp;"",$B$77,"&lt;&gt;*op?ional*",$B$77,"&lt;&gt;*Disciplin? facultativ?*"),$B$77,"")</f>
        <v/>
      </c>
      <c r="AW503" s="205" t="str">
        <f t="shared" si="36"/>
        <v/>
      </c>
      <c r="AX503" s="205" t="str">
        <f t="shared" si="37"/>
        <v/>
      </c>
      <c r="AY503" s="205" t="str">
        <f>IF($AV503="","",$F$79)</f>
        <v/>
      </c>
      <c r="AZ503" s="205" t="str">
        <f t="shared" si="38"/>
        <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9"/>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40"/>
        <v>#VALUE!</v>
      </c>
      <c r="BN503" s="207" t="str">
        <f>IF(COUNTIFS($B$77,"&lt;&gt;"&amp;"",$B$77,"&lt;&gt;practic?*",$B$77,"&lt;&gt;*Elaborare proiect de diplom?*",$B$77,"&lt;&gt;*op?ional*",$B$77,"&lt;&gt;*Disciplin? facultativ?*", $B$77,"&lt;&gt;*Examen de diplom?*"),$M$79,"")</f>
        <v/>
      </c>
      <c r="BO503" s="329" t="str">
        <f>IF($AV503="","",$E$79)</f>
        <v/>
      </c>
      <c r="BP503" s="215" t="str">
        <f>IF(COUNTIFS($B$31,"&lt;&gt;"&amp;"",$B$31,"&lt;&gt;practic?*",$B$31,"&lt;&gt;*op?ional*",$B$31,"&lt;&gt;*Disciplin? facultativ?*",$B$31,"&lt;&gt;*Examen de diplom?*"),$L$79,"")</f>
        <v>DS</v>
      </c>
      <c r="BQ503" s="207" t="str">
        <f t="shared" si="41"/>
        <v/>
      </c>
      <c r="BR503" s="203" t="str">
        <f>IF($AV$483="","",IF($BF$483&lt;&gt;"",$BF$483,0)+IF($BL$483&lt;&gt;"",$BL$483,0)+IF($BN$483&lt;&gt;"",$BN$483,0))</f>
        <v/>
      </c>
      <c r="BS503" s="209">
        <f t="shared" si="42"/>
        <v>0</v>
      </c>
      <c r="BT503" s="209" t="str">
        <f t="shared" si="28"/>
        <v/>
      </c>
      <c r="BU503" s="198"/>
      <c r="BV503" s="198"/>
      <c r="BW503" s="198"/>
      <c r="BX503" s="203">
        <f>SUM(G79:J79)</f>
        <v>28</v>
      </c>
      <c r="BY503" s="502"/>
      <c r="BZ503" s="198"/>
      <c r="CA503" s="198"/>
      <c r="CB503" s="335"/>
      <c r="CC503" s="335"/>
      <c r="CD503" s="335"/>
      <c r="CE503" s="335"/>
      <c r="CF503" s="198"/>
      <c r="CG503" s="199"/>
      <c r="CH503" s="199"/>
      <c r="CI503" s="199"/>
      <c r="CJ503" s="198"/>
      <c r="CK503" s="198"/>
      <c r="CL503" s="198"/>
      <c r="CM503" s="198"/>
      <c r="CN503" s="198"/>
      <c r="CO503" s="198"/>
      <c r="CP503" s="198"/>
      <c r="CQ503" s="198"/>
      <c r="CR503" s="198"/>
      <c r="CS503" s="199"/>
      <c r="CT503" s="199"/>
    </row>
    <row r="504" spans="2:98"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M60.22.03.S6-ij</v>
      </c>
      <c r="AU504" s="203">
        <v>6</v>
      </c>
      <c r="AV504" s="205" t="str">
        <f>IF(COUNTIFS($B$80,"&lt;&gt;"&amp;"",$B$80,"&lt;&gt;*op?ional*",$B$80,"&lt;&gt;*Disciplin? facultativ?*"),$B$80,"")</f>
        <v/>
      </c>
      <c r="AW504" s="205" t="str">
        <f t="shared" si="36"/>
        <v/>
      </c>
      <c r="AX504" s="205" t="str">
        <f t="shared" si="37"/>
        <v/>
      </c>
      <c r="AY504" s="205" t="str">
        <f>IF($AV504="","",$F$82)</f>
        <v/>
      </c>
      <c r="AZ504" s="205" t="str">
        <f t="shared" si="38"/>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9"/>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40"/>
        <v>#VALUE!</v>
      </c>
      <c r="BN504" s="207" t="str">
        <f>IF(COUNTIFS($B$80,"&lt;&gt;"&amp;"",$B$80,"&lt;&gt;practic?*",$B$80,"&lt;&gt;*Elaborare proiect de diplom?*",$B$80,"&lt;&gt;*op?ional*",$B$80,"&lt;&gt;*Disciplin? facultativ?*", $B$80,"&lt;&gt;*Examen de diplom?*"),$M$82,"")</f>
        <v/>
      </c>
      <c r="BO504" s="329" t="str">
        <f>IF($AV504="","",$E$82)</f>
        <v/>
      </c>
      <c r="BP504" s="215" t="str">
        <f>IF(COUNTIFS($B$34,"&lt;&gt;"&amp;"",$B$34,"&lt;&gt;practic?*",$B$34,"&lt;&gt;*op?ional*",$B$34,"&lt;&gt;*Disciplin? facultativ?*",$B$34,"&lt;&gt;*Examen de diplom?*"),$L$82,"")</f>
        <v>DS</v>
      </c>
      <c r="BQ504" s="207" t="str">
        <f t="shared" si="41"/>
        <v/>
      </c>
      <c r="BR504" s="203" t="str">
        <f>IF($AV$484="","",IF($BF$484&lt;&gt;"",$BF$484,0)+IF($BL$484&lt;&gt;"",$BL$484,0)+IF($BN$484&lt;&gt;"",$BN$484,0))</f>
        <v/>
      </c>
      <c r="BS504" s="209">
        <f t="shared" si="42"/>
        <v>0</v>
      </c>
      <c r="BT504" s="209" t="str">
        <f t="shared" si="28"/>
        <v/>
      </c>
      <c r="BU504" s="198"/>
      <c r="BV504" s="198"/>
      <c r="BW504" s="198"/>
      <c r="BX504" s="203">
        <f>SUM(G82:J82)</f>
        <v>28</v>
      </c>
      <c r="BY504" s="502"/>
      <c r="BZ504" s="198"/>
      <c r="CA504" s="198"/>
      <c r="CB504" s="335"/>
      <c r="CC504" s="335"/>
      <c r="CD504" s="335"/>
      <c r="CE504" s="335"/>
      <c r="CF504" s="198"/>
      <c r="CG504" s="199"/>
      <c r="CH504" s="199"/>
      <c r="CI504" s="199"/>
      <c r="CJ504" s="198"/>
      <c r="CK504" s="198"/>
      <c r="CL504" s="198"/>
      <c r="CM504" s="198"/>
      <c r="CN504" s="198"/>
      <c r="CO504" s="198"/>
      <c r="CP504" s="198"/>
      <c r="CQ504" s="198"/>
      <c r="CR504" s="198"/>
      <c r="CS504" s="199"/>
      <c r="CT504" s="199"/>
    </row>
    <row r="505" spans="2:98"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6"/>
        <v/>
      </c>
      <c r="AX505" s="205" t="str">
        <f t="shared" si="37"/>
        <v/>
      </c>
      <c r="AY505" s="205" t="str">
        <f>IF($AV505="","",$F$85)</f>
        <v/>
      </c>
      <c r="AZ505" s="205" t="str">
        <f t="shared" si="38"/>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9"/>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40"/>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1"/>
        <v/>
      </c>
      <c r="BR505" s="203" t="str">
        <f>IF($AV$485="","",IF($BF$485&lt;&gt;"",$BF$485,0)+IF($BL$485&lt;&gt;"",$BL$485,0)+IF($BN$485&lt;&gt;"",$BN$485,0))</f>
        <v/>
      </c>
      <c r="BS505" s="209">
        <f t="shared" si="42"/>
        <v>0</v>
      </c>
      <c r="BT505" s="209" t="str">
        <f t="shared" si="28"/>
        <v/>
      </c>
      <c r="BU505" s="198"/>
      <c r="BV505" s="198"/>
      <c r="BW505" s="198"/>
      <c r="BX505" s="203">
        <f>SUM(G85:J85)</f>
        <v>0</v>
      </c>
      <c r="BY505" s="502"/>
      <c r="BZ505" s="198"/>
      <c r="CA505" s="198"/>
      <c r="CB505" s="335"/>
      <c r="CC505" s="335"/>
      <c r="CD505" s="335"/>
      <c r="CE505" s="335"/>
      <c r="CF505" s="198"/>
      <c r="CG505" s="199"/>
      <c r="CH505" s="199"/>
      <c r="CI505" s="199"/>
      <c r="CJ505" s="198"/>
      <c r="CK505" s="198"/>
      <c r="CL505" s="198"/>
      <c r="CM505" s="198"/>
      <c r="CN505" s="198"/>
      <c r="CO505" s="198"/>
      <c r="CP505" s="198"/>
      <c r="CQ505" s="198"/>
      <c r="CR505" s="198"/>
      <c r="CS505" s="199"/>
      <c r="CT505" s="199"/>
    </row>
    <row r="506" spans="2:98"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6"/>
        <v/>
      </c>
      <c r="AX506" s="205" t="str">
        <f t="shared" si="37"/>
        <v/>
      </c>
      <c r="AY506" s="205" t="str">
        <f>IF($AV506="","",$F$88)</f>
        <v/>
      </c>
      <c r="AZ506" s="205" t="str">
        <f t="shared" si="38"/>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9"/>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40"/>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1"/>
        <v/>
      </c>
      <c r="BR506" s="203" t="str">
        <f>IF($AV$486="","",IF($BF$486&lt;&gt;"",$BF$486,0)+IF($BL$486&lt;&gt;"",$BL$486,0)+IF($BN$486&lt;&gt;"",$BN$486,0))</f>
        <v/>
      </c>
      <c r="BS506" s="209">
        <f t="shared" si="42"/>
        <v>0</v>
      </c>
      <c r="BT506" s="209" t="str">
        <f t="shared" si="28"/>
        <v/>
      </c>
      <c r="BU506" s="198"/>
      <c r="BV506" s="198"/>
      <c r="BW506" s="198"/>
      <c r="BX506" s="203">
        <f>SUM(G88:J88)</f>
        <v>0</v>
      </c>
      <c r="BY506" s="502"/>
      <c r="BZ506" s="198"/>
      <c r="CA506" s="198"/>
      <c r="CB506" s="335"/>
      <c r="CC506" s="335"/>
      <c r="CD506" s="335"/>
      <c r="CE506" s="335"/>
      <c r="CF506" s="198"/>
      <c r="CG506" s="199"/>
      <c r="CH506" s="199"/>
      <c r="CI506" s="199"/>
      <c r="CJ506" s="198"/>
      <c r="CK506" s="198"/>
      <c r="CL506" s="198"/>
      <c r="CM506" s="198"/>
      <c r="CN506" s="198"/>
      <c r="CO506" s="198"/>
      <c r="CP506" s="198"/>
      <c r="CQ506" s="198"/>
      <c r="CR506" s="198"/>
      <c r="CS506" s="199"/>
      <c r="CT506" s="199"/>
    </row>
    <row r="507" spans="2:98"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6"/>
        <v/>
      </c>
      <c r="AX507" s="205" t="str">
        <f t="shared" si="37"/>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9"/>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40"/>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1"/>
        <v/>
      </c>
      <c r="BR507" s="203" t="str">
        <f>IF($AV$486="","",IF($BF$486&lt;&gt;"",$BF$486,0)+IF($BL$486&lt;&gt;"",$BL$486,0)+IF($BN$486&lt;&gt;"",$BN$486,0))</f>
        <v/>
      </c>
      <c r="BS507" s="209">
        <f t="shared" si="42"/>
        <v>0</v>
      </c>
      <c r="BT507" s="209" t="str">
        <f t="shared" si="28"/>
        <v/>
      </c>
      <c r="BU507" s="198"/>
      <c r="BV507" s="198"/>
      <c r="BW507" s="198"/>
      <c r="BX507" s="203"/>
      <c r="BY507" s="502"/>
      <c r="BZ507" s="198"/>
      <c r="CA507" s="198"/>
      <c r="CB507" s="335"/>
      <c r="CC507" s="335"/>
      <c r="CD507" s="335"/>
      <c r="CE507" s="335"/>
      <c r="CF507" s="198"/>
      <c r="CG507" s="199"/>
      <c r="CH507" s="199"/>
      <c r="CI507" s="199"/>
      <c r="CJ507" s="198"/>
      <c r="CK507" s="198"/>
      <c r="CL507" s="198"/>
      <c r="CM507" s="198"/>
      <c r="CN507" s="198"/>
      <c r="CO507" s="198"/>
      <c r="CP507" s="198"/>
      <c r="CQ507" s="198"/>
      <c r="CR507" s="198"/>
      <c r="CS507" s="199"/>
      <c r="CT507" s="199"/>
    </row>
    <row r="508" spans="2:98"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90" t="s">
        <v>188</v>
      </c>
      <c r="AU508" s="506"/>
      <c r="AV508" s="506"/>
      <c r="AW508" s="506"/>
      <c r="AX508" s="506"/>
      <c r="AY508" s="506"/>
      <c r="AZ508" s="506"/>
      <c r="BA508" s="506"/>
      <c r="BB508" s="506"/>
      <c r="BC508" s="506"/>
      <c r="BD508" s="506"/>
      <c r="BE508" s="506"/>
      <c r="BF508" s="506"/>
      <c r="BG508" s="506"/>
      <c r="BH508" s="506"/>
      <c r="BI508" s="506"/>
      <c r="BJ508" s="506"/>
      <c r="BK508" s="506"/>
      <c r="BL508" s="506"/>
      <c r="BM508" s="506"/>
      <c r="BN508" s="506"/>
      <c r="BO508" s="506"/>
      <c r="BP508" s="506"/>
      <c r="BQ508" s="506"/>
      <c r="BR508" s="507"/>
      <c r="BS508" s="209">
        <f t="shared" si="35"/>
        <v>0</v>
      </c>
      <c r="BT508" s="209" t="str">
        <f t="shared" si="28"/>
        <v/>
      </c>
      <c r="BU508" s="198"/>
      <c r="BV508" s="198"/>
      <c r="BW508" s="198"/>
      <c r="BX508" s="203"/>
      <c r="BY508" s="203"/>
      <c r="BZ508" s="198"/>
      <c r="CA508" s="198"/>
      <c r="CB508" s="335"/>
      <c r="CC508" s="335"/>
      <c r="CD508" s="335"/>
      <c r="CE508" s="335"/>
      <c r="CF508" s="198"/>
      <c r="CG508" s="199"/>
      <c r="CH508" s="199"/>
      <c r="CI508" s="199"/>
      <c r="CJ508" s="198"/>
      <c r="CK508" s="198"/>
      <c r="CL508" s="198"/>
      <c r="CM508" s="198"/>
      <c r="CN508" s="198"/>
      <c r="CO508" s="198"/>
      <c r="CP508" s="198"/>
      <c r="CQ508" s="198"/>
      <c r="CR508" s="198"/>
      <c r="CS508" s="199"/>
      <c r="CT508" s="199"/>
    </row>
    <row r="509" spans="2:98"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M60.22.04.S1</v>
      </c>
      <c r="AU509" s="205">
        <v>1</v>
      </c>
      <c r="AV509" s="205" t="str">
        <f>IF(COUNTIFS($N$65,"&lt;&gt;"&amp;"",$N$65,"&lt;&gt;*op?ional*",$N$65,"&lt;&gt;*Disciplin? facultativ?*"),$N$65,"")</f>
        <v>Practică profesională 2</v>
      </c>
      <c r="AW509" s="205">
        <f>IF($AV509="","",ROUND(RIGHT($N$64,1)/2,0))</f>
        <v>2</v>
      </c>
      <c r="AX509" s="205" t="str">
        <f>IF($AV509="","",RIGHT($N$64,1))</f>
        <v>4</v>
      </c>
      <c r="AY509" s="205" t="str">
        <f>IF($AV509="","",$R$67)</f>
        <v>D</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7.1</v>
      </c>
      <c r="BJ509" s="205"/>
      <c r="BK509" s="205" t="str">
        <f>IF(COUNTIF($AV509,"=*Elaborare proiect de diplom?*"),$V$21,"")</f>
        <v/>
      </c>
      <c r="BL509" s="207">
        <f>IF(COUNTIFS($B$65,"&lt;&gt;"&amp;"",$B$65,"&lt;&gt;practic?*",$B$65,"&lt;&gt;*Elaborare proiect de diplom?*",$B$65,"&lt;&gt;*op?ional*",$B$65,"&lt;&gt;*Disciplin? facultativ?*", $B$65,"&lt;&gt;*Examen de diplom?*"),$W$67,"")</f>
        <v>100</v>
      </c>
      <c r="BM509" s="207">
        <f>ROUND(BN509/14,1)</f>
        <v>0</v>
      </c>
      <c r="BN509" s="207">
        <f>IF(COUNTIFS($B$65,"&lt;&gt;"&amp;"",$B$65,"&lt;&gt;practic?*",$B$65,"&lt;&gt;*Elaborare proiect de diplom?*",$B$65,"&lt;&gt;*op?ional*",$B$65,"&lt;&gt;*Disciplin? facultativ?*", $B$65,"&lt;&gt;*Examen de diplom?*"),$Y$67,"")</f>
        <v>0</v>
      </c>
      <c r="BO509" s="205">
        <f>IF($AV509="","",$Q$67)</f>
        <v>4</v>
      </c>
      <c r="BP509" s="207" t="str">
        <f>IF(COUNTIFS($B$65,"&lt;&gt;"&amp;"",$B$65,"&lt;&gt;practic?*",$B$65,"&lt;&gt;*op?ional*",$B$65,"&lt;&gt;*Disciplin? facultativ?*",$B$65,"&lt;&gt;*Examen de diplom?*"),$X$67,"")</f>
        <v>DS</v>
      </c>
      <c r="BQ509" s="207">
        <f>IF($AV509="","",IF($BC509&lt;&gt;"",$BC509,0)+IF($BI509&lt;&gt;"",$BI509,0)+IF($BM509&lt;&gt;"",$BM509,0))</f>
        <v>7.1</v>
      </c>
      <c r="BR509" s="205">
        <f>IF($AV$479="","",IF($NJ$479&lt;&gt;"",$NJ$479,0)+IF($NP$479&lt;&gt;"",$NP$479,0)+IF($NR$479&lt;&gt;"",$NR$479,0))</f>
        <v>0</v>
      </c>
      <c r="BS509" s="209">
        <f>IF(SUM(BA509:BB509)&gt;0,1,0)</f>
        <v>0</v>
      </c>
      <c r="BT509" s="209" t="str">
        <f t="shared" si="28"/>
        <v>2023</v>
      </c>
      <c r="BU509" s="198"/>
      <c r="BV509" s="198"/>
      <c r="BW509" s="198"/>
      <c r="BX509" s="203">
        <f>SUM(S67:V67)</f>
        <v>0</v>
      </c>
      <c r="BY509" s="502">
        <f>COUNTIF(BX509:BX516,"&gt;0")</f>
        <v>2</v>
      </c>
      <c r="BZ509" s="198"/>
      <c r="CA509" s="198"/>
      <c r="CB509" s="335"/>
      <c r="CC509" s="335"/>
      <c r="CD509" s="335"/>
      <c r="CE509" s="335"/>
      <c r="CF509" s="198"/>
      <c r="CG509" s="199"/>
      <c r="CH509" s="199"/>
      <c r="CI509" s="199"/>
      <c r="CJ509" s="198"/>
      <c r="CK509" s="198"/>
      <c r="CL509" s="198"/>
      <c r="CM509" s="198"/>
      <c r="CN509" s="198"/>
      <c r="CO509" s="198"/>
      <c r="CP509" s="198"/>
      <c r="CQ509" s="198"/>
      <c r="CR509" s="198"/>
      <c r="CS509" s="199"/>
      <c r="CT509" s="199"/>
    </row>
    <row r="510" spans="2:98"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M60.22.04.C2</v>
      </c>
      <c r="AU510" s="203">
        <v>2</v>
      </c>
      <c r="AV510" s="205" t="str">
        <f>IF(COUNTIFS($N$68,"&lt;&gt;"&amp;"",$N$68,"&lt;&gt;*op?ional*",$N$68,"&lt;&gt;*Disciplin? facultativ?*"),$N$68,"")</f>
        <v xml:space="preserve">Etică şi integritate academică </v>
      </c>
      <c r="AW510" s="205">
        <f t="shared" ref="AW510:AW517" si="43">IF($AV510="","",ROUND(RIGHT($N$64,1)/2,0))</f>
        <v>2</v>
      </c>
      <c r="AX510" s="205" t="str">
        <f t="shared" ref="AX510:AX517" si="44">IF($AV510="","",RIGHT($N$64,1))</f>
        <v>4</v>
      </c>
      <c r="AY510" s="205" t="str">
        <f>IF($AV510="","",$R$70)</f>
        <v>ED</v>
      </c>
      <c r="AZ510" s="205" t="str">
        <f t="shared" ref="AZ510:AZ517" si="45">IF($AV510="","","DI")</f>
        <v>DI</v>
      </c>
      <c r="BA510" s="205">
        <f>IF(COUNTIFS($N$68,"&lt;&gt;"&amp;"",$N$68,"&lt;&gt;practic?*",$N$68,"&lt;&gt;*Elaborare proiect de diplom?*",$N$68,"&lt;&gt;*op?ional*",$N$68,"&lt;&gt;*Disciplin? facultativ?*", $N$68,"&lt;&gt;*Examen de diplom?*"),ROUND($S$70/14,1),"")</f>
        <v>1</v>
      </c>
      <c r="BB510" s="205">
        <f>IF(COUNTIFS($N$68,"&lt;&gt;"&amp;"",$N$68,"&lt;&gt;practic?*",$N$68,"&lt;&gt;*Elaborare proiect de diplom?*",$N$68,"&lt;&gt;*op?ional*",$N$68,"&lt;&gt;*Disciplin? facultativ?*", $N$68,"&lt;&gt;*Examen de diplom?*"),ROUND(($T$70+$U$70+$V$70)/14,1),"")</f>
        <v>0.5</v>
      </c>
      <c r="BC510" s="205">
        <f>IF(COUNTIFS($N$68,"&lt;&gt;"&amp;"",$N$68,"&lt;&gt;practic?*",$N$68,"&lt;&gt;*Elaborare proiect de diplom?*",$N$68,"&lt;&gt;*op?ional*",$N$68,"&lt;&gt;*Disciplin? facultativ?*", $N$68,"&lt;&gt;*Examen de diplom?*"),ROUND(($S$70+$T$70+$U$70+$V$70)/14,1),"")</f>
        <v>1.5</v>
      </c>
      <c r="BD510" s="207">
        <f>IF(COUNTIFS($N$68,"&lt;&gt;"&amp;"",$N$68,"&lt;&gt;practic?*",$N$68,"&lt;&gt;*Elaborare proiect de diplom?*",$N$68,"&lt;&gt;*op?ional*",$N$68,"&lt;&gt;*Disciplin? facultativ?*", $N$68,"&lt;&gt;*Examen de diplom?*"),$S$70,"")</f>
        <v>14</v>
      </c>
      <c r="BE510" s="205">
        <f>IF(COUNTIFS($N$68,"&lt;&gt;"&amp;"",$N$68,"&lt;&gt;practic?*",$N$68,"&lt;&gt;*Elaborare proiect de diplom?*",$N$68,"&lt;&gt;*op?ional*",$N$68,"&lt;&gt;*Disciplin? facultativ?*", $N$68,"&lt;&gt;*Examen de diplom?*"),($T$70+$U$70+$V$70),"")</f>
        <v>7</v>
      </c>
      <c r="BF510" s="205">
        <f>IF(COUNTIFS($N$68,"&lt;&gt;"&amp;"",$N$68,"&lt;&gt;practic?*",$N$68,"&lt;&gt;*Elaborare proiect de diplom?*",$N$68,"&lt;&gt;*op?ional*",$N$68,"&lt;&gt;*Disciplin? facultativ?*", $N$68,"&lt;&gt;*Examen de diplom?*"),($S$70+$T$70+$U$70+$V$70),"")</f>
        <v>21</v>
      </c>
      <c r="BG510" s="203"/>
      <c r="BH510" s="205" t="str">
        <f>IF(COUNTIF($AV510,"=*Elaborare proiect de diplom?*"),ROUND($V$24/14,1),"")</f>
        <v/>
      </c>
      <c r="BI510" s="207">
        <f t="shared" ref="BI510:BI517" si="46">ROUND(BL510/14,1)</f>
        <v>0</v>
      </c>
      <c r="BJ510" s="203"/>
      <c r="BK510" s="205" t="str">
        <f>IF(COUNTIF($AV510,"=*Elaborare proiect de diplom?*"),$V$24,"")</f>
        <v/>
      </c>
      <c r="BL510" s="207">
        <f>IF(COUNTIFS($B$68,"&lt;&gt;"&amp;"",$B$68,"&lt;&gt;practic?*",$B$68,"&lt;&gt;*Elaborare proiect de diplom?*",$B$68,"&lt;&gt;*op?ional*",$B$68,"&lt;&gt;*Disciplin? facultativ?*", $B$68,"&lt;&gt;*Examen de diplom?*"),$W$70,"")</f>
        <v>0</v>
      </c>
      <c r="BM510" s="207">
        <f t="shared" ref="BM510:BM517" si="47">ROUND(BN510/14,1)</f>
        <v>2.1</v>
      </c>
      <c r="BN510" s="207">
        <f>IF(COUNTIFS($B$68,"&lt;&gt;"&amp;"",$B$68,"&lt;&gt;practic?*",$B$68,"&lt;&gt;*Elaborare proiect de diplom?*",$B$68,"&lt;&gt;*op?ional*",$B$68,"&lt;&gt;*Disciplin? facultativ?*", $B$68,"&lt;&gt;*Examen de diplom?*"),$Y$70,"")</f>
        <v>29</v>
      </c>
      <c r="BO510" s="329">
        <f>IF($AV510="","",$Q$70)</f>
        <v>2</v>
      </c>
      <c r="BP510" s="215" t="str">
        <f>IF(COUNTIFS($B$22,"&lt;&gt;"&amp;"",$B$22,"&lt;&gt;practic?*",$B$22,"&lt;&gt;*op?ional*",$B$22,"&lt;&gt;*Disciplin? facultativ?*",$B$22,"&lt;&gt;*Examen de diplom?*"),$X$70,"")</f>
        <v>DC</v>
      </c>
      <c r="BQ510" s="207">
        <f t="shared" ref="BQ510:BQ517" si="48">IF($AV510="","",IF($BC510&lt;&gt;"",$BC510,0)+IF($BI510&lt;&gt;"",$BI510,0)+IF($BM510&lt;&gt;"",$BM510,0))</f>
        <v>3.6</v>
      </c>
      <c r="BR510" s="203">
        <f>IF($AV$480="","",IF($NJ$480&lt;&gt;"",$NJ$480,0)+IF($NP$480&lt;&gt;"",$NP$480,0)+IF($NR$480&lt;&gt;"",$NR$480,0))</f>
        <v>0</v>
      </c>
      <c r="BS510" s="209">
        <f t="shared" ref="BS510:BS517" si="49">IF(SUM(BA510:BB510)&gt;0,1,0)</f>
        <v>1</v>
      </c>
      <c r="BT510" s="209" t="str">
        <f t="shared" si="28"/>
        <v>2023</v>
      </c>
      <c r="BU510" s="198"/>
      <c r="BV510" s="198"/>
      <c r="BW510" s="198"/>
      <c r="BX510" s="203">
        <f>SUM(S70:V70)</f>
        <v>21</v>
      </c>
      <c r="BY510" s="502"/>
      <c r="BZ510" s="198"/>
      <c r="CA510" s="198"/>
      <c r="CB510" s="335"/>
      <c r="CC510" s="335"/>
      <c r="CD510" s="335"/>
      <c r="CE510" s="335"/>
      <c r="CF510" s="198"/>
      <c r="CG510" s="199"/>
      <c r="CH510" s="199"/>
      <c r="CI510" s="199"/>
      <c r="CJ510" s="198"/>
      <c r="CK510" s="198"/>
      <c r="CL510" s="198"/>
      <c r="CM510" s="198"/>
      <c r="CN510" s="198"/>
      <c r="CO510" s="198"/>
      <c r="CP510" s="198"/>
      <c r="CQ510" s="198"/>
      <c r="CR510" s="198"/>
      <c r="CS510" s="199"/>
      <c r="CT510" s="199"/>
    </row>
    <row r="511" spans="2:98"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M60.22.04.A3</v>
      </c>
      <c r="AU511" s="203">
        <v>3</v>
      </c>
      <c r="AV511" s="205" t="str">
        <f>IF(COUNTIFS($N$71,"&lt;&gt;"&amp;"",$N$71,"&lt;&gt;*op?ional*",$N$71,"&lt;&gt;*Disciplin? facultativ?*"),$N$71,"")</f>
        <v>Cercetare indrumata</v>
      </c>
      <c r="AW511" s="205">
        <f t="shared" si="43"/>
        <v>2</v>
      </c>
      <c r="AX511" s="205" t="str">
        <f t="shared" si="44"/>
        <v>4</v>
      </c>
      <c r="AY511" s="205" t="str">
        <f>IF($AV511="","",$R$73)</f>
        <v>D</v>
      </c>
      <c r="AZ511" s="205" t="str">
        <f t="shared" si="45"/>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6</v>
      </c>
      <c r="BC511" s="205">
        <f>IF(COUNTIFS($N$71,"&lt;&gt;"&amp;"",$N$71,"&lt;&gt;practic?*",$N$71,"&lt;&gt;*Elaborare proiect de diplom?*",$N$71,"&lt;&gt;*op?ional*",$N$71,"&lt;&gt;*Disciplin? facultativ?*", $N$71,"&lt;&gt;*Examen de diplom?*"),ROUND(($S$73+$T$73+$U$73+$V$73)/14,1),"")</f>
        <v>6</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84</v>
      </c>
      <c r="BF511" s="205">
        <f>IF(COUNTIFS($N$71,"&lt;&gt;"&amp;"",$N$71,"&lt;&gt;practic?*",$N$71,"&lt;&gt;*Elaborare proiect de diplom?*",$N$71,"&lt;&gt;*op?ional*",$N$71,"&lt;&gt;*Disciplin? facultativ?*", $N$71,"&lt;&gt;*Examen de diplom?*"),($S$73+$T$73+$U$73+$V$73),"")</f>
        <v>84</v>
      </c>
      <c r="BG511" s="203"/>
      <c r="BH511" s="205" t="str">
        <f>IF(COUNTIF($AV511,"=*Elaborare proiect de diplom?*"),ROUND($V$27/14,1),"")</f>
        <v/>
      </c>
      <c r="BI511" s="207">
        <f t="shared" si="46"/>
        <v>0</v>
      </c>
      <c r="BJ511" s="203"/>
      <c r="BK511" s="205" t="str">
        <f>IF(COUNTIF($AV511,"=*Elaborare proiect de diplom?*"),$V$27,"")</f>
        <v/>
      </c>
      <c r="BL511" s="207">
        <f>IF(COUNTIFS($B$71,"&lt;&gt;"&amp;"",$B$71,"&lt;&gt;practic?*",$B$71,"&lt;&gt;*Elaborare proiect de diplom?*",$B$71,"&lt;&gt;*op?ional*",$B$71,"&lt;&gt;*Disciplin? facultativ?*", $B$71,"&lt;&gt;*Examen de diplom?*"),$W$73,"")</f>
        <v>0</v>
      </c>
      <c r="BM511" s="207">
        <f t="shared" si="47"/>
        <v>11.9</v>
      </c>
      <c r="BN511" s="207">
        <f>IF(COUNTIFS($B$71,"&lt;&gt;"&amp;"",$B$71,"&lt;&gt;practic?*",$B$71,"&lt;&gt;*Elaborare proiect de diplom?*",$B$71,"&lt;&gt;*op?ional*",$B$71,"&lt;&gt;*Disciplin? facultativ?*", $B$71,"&lt;&gt;*Examen de diplom?*"),$Y$73,"")</f>
        <v>166</v>
      </c>
      <c r="BO511" s="329">
        <f>IF($AV511="","",$Q$73)</f>
        <v>10</v>
      </c>
      <c r="BP511" s="215" t="str">
        <f>IF(COUNTIFS($B$67,"&lt;&gt;"&amp;"",$B$67,"&lt;&gt;practic?*",$B$67,"&lt;&gt;*op?ional*",$B$67,"&lt;&gt;*Disciplin? facultativ?*",$B$67,"&lt;&gt;*Examen de diplom?*"),$X$73,"")</f>
        <v>DA</v>
      </c>
      <c r="BQ511" s="207">
        <f t="shared" si="48"/>
        <v>17.899999999999999</v>
      </c>
      <c r="BR511" s="203">
        <f>IF($AV$481="","",IF($NJ$481&lt;&gt;"",$NJ$481,0)+IF($NP$481&lt;&gt;"",$NP$481,0)+IF($NR$481&lt;&gt;"",$NR$481,0))</f>
        <v>0</v>
      </c>
      <c r="BS511" s="209">
        <f t="shared" si="49"/>
        <v>1</v>
      </c>
      <c r="BT511" s="209" t="str">
        <f t="shared" si="28"/>
        <v>2023</v>
      </c>
      <c r="BU511" s="198"/>
      <c r="BV511" s="198"/>
      <c r="BW511" s="198"/>
      <c r="BX511" s="203">
        <f>SUM(S73:V73)</f>
        <v>84</v>
      </c>
      <c r="BY511" s="502"/>
      <c r="BZ511" s="198"/>
      <c r="CA511" s="198"/>
      <c r="CB511" s="335"/>
      <c r="CC511" s="335"/>
      <c r="CD511" s="335"/>
      <c r="CE511" s="335"/>
      <c r="CF511" s="198"/>
      <c r="CG511" s="199"/>
      <c r="CH511" s="199"/>
      <c r="CI511" s="199"/>
      <c r="CJ511" s="198"/>
      <c r="CK511" s="198"/>
      <c r="CL511" s="198"/>
      <c r="CM511" s="198"/>
      <c r="CN511" s="198"/>
      <c r="CO511" s="198"/>
      <c r="CP511" s="198"/>
      <c r="CQ511" s="198"/>
      <c r="CR511" s="198"/>
      <c r="CS511" s="199"/>
      <c r="CT511" s="199"/>
    </row>
    <row r="512" spans="2:98"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M60.22.04.S4</v>
      </c>
      <c r="AU512" s="205">
        <v>4</v>
      </c>
      <c r="AV512" s="205" t="str">
        <f>IF(COUNTIFS($N$74,"&lt;&gt;"&amp;"",$N$74,"&lt;&gt;*op?ional*",$N$74,"&lt;&gt;*Disciplin? facultativ?*"),$N$74,"")</f>
        <v>Elaborare lucrare de disertaţie</v>
      </c>
      <c r="AW512" s="205">
        <f t="shared" si="43"/>
        <v>2</v>
      </c>
      <c r="AX512" s="205" t="str">
        <f t="shared" si="44"/>
        <v>4</v>
      </c>
      <c r="AY512" s="205" t="str">
        <f>IF($AV512="","",$R$76)</f>
        <v>E</v>
      </c>
      <c r="AZ512" s="205" t="str">
        <f t="shared" si="45"/>
        <v>DI</v>
      </c>
      <c r="BA512" s="205">
        <f>IF(COUNTIFS($N$74,"&lt;&gt;"&amp;"",$N$74,"&lt;&gt;practic?*",$N$74,"&lt;&gt;*Elaborare proiect de diplom?*",$N$74,"&lt;&gt;*op?ional*",$N$74,"&lt;&gt;*Disciplin? facultativ?*", $N$74,"&lt;&gt;*Examen de diplom?*"),ROUND($S$76/14,1),"")</f>
        <v>0</v>
      </c>
      <c r="BB512" s="205">
        <f>IF(COUNTIFS($N$74,"&lt;&gt;"&amp;"",$N$74,"&lt;&gt;practic?*",$N$74,"&lt;&gt;*Elaborare proiect de diplom?*",$N$74,"&lt;&gt;*op?ional*",$N$74,"&lt;&gt;*Disciplin? facultativ?*", $N$74,"&lt;&gt;*Examen de diplom?*"),ROUND(($T$76+$U$76+$V$76)/14,1),"")</f>
        <v>0</v>
      </c>
      <c r="BC512" s="205">
        <f>IF(COUNTIFS($N$74,"&lt;&gt;"&amp;"",$N$74,"&lt;&gt;practic?*",$N$74,"&lt;&gt;*Elaborare proiect de diplom?*",$N$74,"&lt;&gt;*op?ional*",$N$74,"&lt;&gt;*Disciplin? facultativ?*", $N$74,"&lt;&gt;*Examen de diplom?*"),ROUND(($S$76+$T$76+$U$76+$V$76)/14,1),"")</f>
        <v>0</v>
      </c>
      <c r="BD512" s="207">
        <f>IF(COUNTIFS($N$74,"&lt;&gt;"&amp;"",$N$74,"&lt;&gt;practic?*",$N$74,"&lt;&gt;*Elaborare proiect de diplom?*",$N$74,"&lt;&gt;*op?ional*",$N$74,"&lt;&gt;*Disciplin? facultativ?*", $N$74,"&lt;&gt;*Examen de diplom?*"),$S$76,"")</f>
        <v>0</v>
      </c>
      <c r="BE512" s="205">
        <f>IF(COUNTIFS($N$74,"&lt;&gt;"&amp;"",$N$74,"&lt;&gt;practic?*",$N$74,"&lt;&gt;*Elaborare proiect de diplom?*",$N$74,"&lt;&gt;*op?ional*",$N$74,"&lt;&gt;*Disciplin? facultativ?*", $N$74,"&lt;&gt;*Examen de diplom?*"),($T$76+$U$76+$V$76),"")</f>
        <v>0</v>
      </c>
      <c r="BF512" s="205">
        <f>IF(COUNTIFS($N$74,"&lt;&gt;"&amp;"",$N$74,"&lt;&gt;practic?*",$N$74,"&lt;&gt;*Elaborare proiect de diplom?*",$N$74,"&lt;&gt;*op?ional*",$N$74,"&lt;&gt;*Disciplin? facultativ?*", $N$74,"&lt;&gt;*Examen de diplom?*"),($S$76+$T$76+$U$76+$V$76),"")</f>
        <v>0</v>
      </c>
      <c r="BG512" s="203"/>
      <c r="BH512" s="205" t="str">
        <f>IF(COUNTIF($AV512,"=*Elaborare proiect de diplom?*"),ROUND($V$30/14,1),"")</f>
        <v/>
      </c>
      <c r="BI512" s="207">
        <f t="shared" si="46"/>
        <v>2</v>
      </c>
      <c r="BJ512" s="203"/>
      <c r="BK512" s="205" t="str">
        <f>IF(COUNTIF($AV512,"=*Elaborare proiect de diplom?*"),$V$30,"")</f>
        <v/>
      </c>
      <c r="BL512" s="207">
        <f>IF(COUNTIFS($B$74,"&lt;&gt;"&amp;"",$B$74,"&lt;&gt;practic?*",$B$74,"&lt;&gt;*Elaborare proiect de diplom?*",$B$74,"&lt;&gt;*op?ional*",$B$74,"&lt;&gt;*Disciplin? facultativ?*", $B$74,"&lt;&gt;*Examen de diplom?*"),$W$76,"")</f>
        <v>28</v>
      </c>
      <c r="BM512" s="207">
        <f t="shared" si="47"/>
        <v>23</v>
      </c>
      <c r="BN512" s="207">
        <f>IF(COUNTIFS($B$74,"&lt;&gt;"&amp;"",$B$74,"&lt;&gt;practic?*",$B$74,"&lt;&gt;*Elaborare proiect de diplom?*",$B$74,"&lt;&gt;*op?ional*",$B$74,"&lt;&gt;*Disciplin? facultativ?*", $B$74,"&lt;&gt;*Examen de diplom?*"),$Y$76,"")</f>
        <v>322</v>
      </c>
      <c r="BO512" s="329">
        <f>IF($AV512="","",$Q$76)</f>
        <v>14</v>
      </c>
      <c r="BP512" s="215" t="str">
        <f>IF(COUNTIFS($B$28,"&lt;&gt;"&amp;"",$B$28,"&lt;&gt;practic?*",$B$28,"&lt;&gt;*op?ional*",$B$28,"&lt;&gt;*Disciplin? facultativ?*",$B$28,"&lt;&gt;*Examen de diplom?*"),$X$76,"")</f>
        <v>DS</v>
      </c>
      <c r="BQ512" s="207">
        <f t="shared" si="48"/>
        <v>25</v>
      </c>
      <c r="BR512" s="203">
        <f>IF($AV$482="","",IF($NJ$482&lt;&gt;"",$NJ$482,0)+IF($NP$482&lt;&gt;"",$NP$482,0)+IF($NR$482&lt;&gt;"",$NR$482,0))</f>
        <v>0</v>
      </c>
      <c r="BS512" s="209">
        <f t="shared" si="49"/>
        <v>0</v>
      </c>
      <c r="BT512" s="209" t="str">
        <f t="shared" si="28"/>
        <v>2023</v>
      </c>
      <c r="BU512" s="198"/>
      <c r="BV512" s="198"/>
      <c r="BW512" s="198"/>
      <c r="BX512" s="203">
        <f>SUM(S76:V76)</f>
        <v>0</v>
      </c>
      <c r="BY512" s="502"/>
      <c r="BZ512" s="198"/>
      <c r="CA512" s="198"/>
      <c r="CB512" s="335"/>
      <c r="CC512" s="335"/>
      <c r="CD512" s="335"/>
      <c r="CE512" s="335"/>
      <c r="CF512" s="198"/>
      <c r="CG512" s="199"/>
      <c r="CH512" s="199"/>
      <c r="CI512" s="199"/>
      <c r="CJ512" s="198"/>
      <c r="CK512" s="198"/>
      <c r="CL512" s="198"/>
      <c r="CM512" s="198"/>
      <c r="CN512" s="198"/>
      <c r="CO512" s="198"/>
      <c r="CP512" s="198"/>
      <c r="CQ512" s="198"/>
      <c r="CR512" s="198"/>
      <c r="CS512" s="199"/>
      <c r="CT512" s="199"/>
    </row>
    <row r="513" spans="1:98"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M60.22.04.S5</v>
      </c>
      <c r="AU513" s="203">
        <v>5</v>
      </c>
      <c r="AV513" s="205" t="str">
        <f>IF(COUNTIFS($N$77,"&lt;&gt;"&amp;"",$N$77,"&lt;&gt;*op?ional*",$N$77,"&lt;&gt;*Disciplin? facultativ?*"),$N$77,"")</f>
        <v xml:space="preserve">Examen de disertaţie                     </v>
      </c>
      <c r="AW513" s="205">
        <f t="shared" si="43"/>
        <v>2</v>
      </c>
      <c r="AX513" s="205" t="str">
        <f t="shared" si="44"/>
        <v>4</v>
      </c>
      <c r="AY513" s="205" t="str">
        <f>IF($AV513="","",$R$79)</f>
        <v>E</v>
      </c>
      <c r="AZ513" s="205" t="str">
        <f t="shared" si="45"/>
        <v>DI</v>
      </c>
      <c r="BA513" s="205">
        <f>IF(COUNTIFS($N$77,"&lt;&gt;"&amp;"",$N$77,"&lt;&gt;practic?*",$N$77,"&lt;&gt;*Elaborare proiect de diplom?*",$N$77,"&lt;&gt;*op?ional*",$N$77,"&lt;&gt;*Disciplin? facultativ?*", $N$77,"&lt;&gt;*Examen de diplom?*"),ROUND($S$79/14,1),"")</f>
        <v>0</v>
      </c>
      <c r="BB513" s="205">
        <f>IF(COUNTIFS($N$77,"&lt;&gt;"&amp;"",$N$77,"&lt;&gt;practic?*",$N$77,"&lt;&gt;*Elaborare proiect de diplom?*",$N$77,"&lt;&gt;*op?ional*",$N$77,"&lt;&gt;*Disciplin? facultativ?*", $N$77,"&lt;&gt;*Examen de diplom?*"),ROUND(($T$79+$U$79+$V$79)/14,1),"")</f>
        <v>0</v>
      </c>
      <c r="BC513" s="205">
        <f>IF(COUNTIFS($N$77,"&lt;&gt;"&amp;"",$N$77,"&lt;&gt;practic?*",$N$77,"&lt;&gt;*Elaborare proiect de diplom?*",$N$77,"&lt;&gt;*op?ional*",$N$77,"&lt;&gt;*Disciplin? facultativ?*", $N$77,"&lt;&gt;*Examen de diplom?*"),ROUND(($S$79+$T$79+$U$79+$V$79)/14,1),"")</f>
        <v>0</v>
      </c>
      <c r="BD513" s="207">
        <f>IF(COUNTIFS($N$77,"&lt;&gt;"&amp;"",$N$77,"&lt;&gt;practic?*",$N$77,"&lt;&gt;*Elaborare proiect de diplom?*",$N$77,"&lt;&gt;*op?ional*",$N$77,"&lt;&gt;*Disciplin? facultativ?*", $N$77,"&lt;&gt;*Examen de diplom?*"),$S$79,"")</f>
        <v>0</v>
      </c>
      <c r="BE513" s="205">
        <f>IF(COUNTIFS($N$77,"&lt;&gt;"&amp;"",$N$77,"&lt;&gt;practic?*",$N$77,"&lt;&gt;*Elaborare proiect de diplom?*",$N$77,"&lt;&gt;*op?ional*",$N$77,"&lt;&gt;*Disciplin? facultativ?*", $N$77,"&lt;&gt;*Examen de diplom?*"),($T$79+$U$79+$V$79),"")</f>
        <v>0</v>
      </c>
      <c r="BF513" s="205">
        <f>IF(COUNTIFS($N$77,"&lt;&gt;"&amp;"",$N$77,"&lt;&gt;practic?*",$N$77,"&lt;&gt;*Elaborare proiect de diplom?*",$N$77,"&lt;&gt;*op?ional*",$N$77,"&lt;&gt;*Disciplin? facultativ?*", $N$77,"&lt;&gt;*Examen de diplom?*"),($S$79+$T$79+$U$79+$V$79),"")</f>
        <v>0</v>
      </c>
      <c r="BG513" s="203"/>
      <c r="BH513" s="205" t="str">
        <f>IF(COUNTIF($AV513,"=*Elaborare proiect de diplom?*"),ROUND($V$33/14,1),"")</f>
        <v/>
      </c>
      <c r="BI513" s="207" t="e">
        <f t="shared" si="46"/>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7"/>
        <v>#VALUE!</v>
      </c>
      <c r="BN513" s="207" t="str">
        <f>IF(COUNTIFS($B$77,"&lt;&gt;"&amp;"",$B$77,"&lt;&gt;practic?*",$B$77,"&lt;&gt;*Elaborare proiect de diplom?*",$B$77,"&lt;&gt;*op?ional*",$B$77,"&lt;&gt;*Disciplin? facultativ?*", $B$77,"&lt;&gt;*Examen de diplom?*"),$Y$79,"")</f>
        <v/>
      </c>
      <c r="BO513" s="329">
        <f>IF($AV513="","",$Q$79)</f>
        <v>10</v>
      </c>
      <c r="BP513" s="215" t="str">
        <f>IF(COUNTIFS($B$31,"&lt;&gt;"&amp;"",$B$31,"&lt;&gt;practic?*",$B$31,"&lt;&gt;*op?ional*",$B$31,"&lt;&gt;*Disciplin? facultativ?*",$B$31,"&lt;&gt;*Examen de diplom?*"),$X$79,"")</f>
        <v>DS</v>
      </c>
      <c r="BQ513" s="207" t="e">
        <f t="shared" si="48"/>
        <v>#VALUE!</v>
      </c>
      <c r="BR513" s="203" t="str">
        <f>IF($AV$483="","",IF($NJ$483&lt;&gt;"",$NJ$483,0)+IF($NP$483&lt;&gt;"",$NP$483,0)+IF($NR$483&lt;&gt;"",$NR$483,0))</f>
        <v/>
      </c>
      <c r="BS513" s="209">
        <f t="shared" si="49"/>
        <v>0</v>
      </c>
      <c r="BT513" s="209" t="str">
        <f t="shared" si="28"/>
        <v>2023</v>
      </c>
      <c r="BU513" s="198"/>
      <c r="BV513" s="198"/>
      <c r="BW513" s="198"/>
      <c r="BX513" s="203">
        <f>SUM(S79:V79)</f>
        <v>0</v>
      </c>
      <c r="BY513" s="502"/>
      <c r="BZ513" s="198"/>
      <c r="CA513" s="198"/>
      <c r="CB513" s="335"/>
      <c r="CC513" s="335"/>
      <c r="CD513" s="335"/>
      <c r="CE513" s="335"/>
      <c r="CF513" s="198"/>
      <c r="CG513" s="199"/>
      <c r="CH513" s="199"/>
      <c r="CI513" s="199"/>
      <c r="CJ513" s="198"/>
      <c r="CK513" s="198"/>
      <c r="CL513" s="198"/>
      <c r="CM513" s="198"/>
      <c r="CN513" s="198"/>
      <c r="CO513" s="198"/>
      <c r="CP513" s="198"/>
      <c r="CQ513" s="198"/>
      <c r="CR513" s="198"/>
      <c r="CS513" s="199"/>
      <c r="CT513" s="199"/>
    </row>
    <row r="514" spans="1:98"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3"/>
        <v/>
      </c>
      <c r="AX514" s="205" t="str">
        <f t="shared" si="44"/>
        <v/>
      </c>
      <c r="AY514" s="205" t="str">
        <f>IF($AV514="","",$R$82)</f>
        <v/>
      </c>
      <c r="AZ514" s="205" t="str">
        <f t="shared" si="45"/>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6"/>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7"/>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8"/>
        <v/>
      </c>
      <c r="BR514" s="203" t="str">
        <f>IF($AV$484="","",IF($NJ$484&lt;&gt;"",$NJ$484,0)+IF($NP$484&lt;&gt;"",$NP$484,0)+IF($NR$484&lt;&gt;"",$NR$484,0))</f>
        <v/>
      </c>
      <c r="BS514" s="209">
        <f t="shared" si="49"/>
        <v>0</v>
      </c>
      <c r="BT514" s="209" t="str">
        <f t="shared" si="28"/>
        <v/>
      </c>
      <c r="BU514" s="198"/>
      <c r="BV514" s="198"/>
      <c r="BW514" s="198"/>
      <c r="BX514" s="203">
        <f>SUM(S82:V82)</f>
        <v>0</v>
      </c>
      <c r="BY514" s="502"/>
      <c r="BZ514" s="198"/>
      <c r="CA514" s="198"/>
      <c r="CB514" s="335"/>
      <c r="CC514" s="335"/>
      <c r="CD514" s="335"/>
      <c r="CE514" s="335"/>
      <c r="CF514" s="198"/>
      <c r="CG514" s="199"/>
      <c r="CH514" s="199"/>
      <c r="CI514" s="199"/>
      <c r="CJ514" s="198"/>
      <c r="CK514" s="198"/>
      <c r="CL514" s="198"/>
      <c r="CM514" s="198"/>
      <c r="CN514" s="198"/>
      <c r="CO514" s="198"/>
      <c r="CP514" s="198"/>
      <c r="CQ514" s="198"/>
      <c r="CR514" s="198"/>
      <c r="CS514" s="199"/>
      <c r="CT514" s="199"/>
    </row>
    <row r="515" spans="1:98"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3"/>
        <v/>
      </c>
      <c r="AX515" s="205" t="str">
        <f t="shared" si="44"/>
        <v/>
      </c>
      <c r="AY515" s="205" t="str">
        <f>IF($AV515="","",$R$85)</f>
        <v/>
      </c>
      <c r="AZ515" s="205" t="str">
        <f t="shared" si="45"/>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6"/>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7"/>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8"/>
        <v/>
      </c>
      <c r="BR515" s="203" t="str">
        <f>IF($AV$485="","",IF($NJ$485&lt;&gt;"",$NJ$485,0)+IF($NP$485&lt;&gt;"",$NP$485,0)+IF($NR$485&lt;&gt;"",$NR$485,0))</f>
        <v/>
      </c>
      <c r="BS515" s="209">
        <f t="shared" si="49"/>
        <v>0</v>
      </c>
      <c r="BT515" s="209" t="str">
        <f t="shared" si="28"/>
        <v/>
      </c>
      <c r="BU515" s="198"/>
      <c r="BV515" s="198"/>
      <c r="BW515" s="198"/>
      <c r="BX515" s="203">
        <f>SUM(S85:V85)</f>
        <v>0</v>
      </c>
      <c r="BY515" s="502"/>
      <c r="BZ515" s="198"/>
      <c r="CA515" s="198"/>
      <c r="CB515" s="335"/>
      <c r="CC515" s="335"/>
      <c r="CD515" s="335"/>
      <c r="CE515" s="335"/>
      <c r="CF515" s="198"/>
      <c r="CG515" s="199"/>
      <c r="CH515" s="199"/>
      <c r="CI515" s="199"/>
      <c r="CJ515" s="198"/>
      <c r="CK515" s="198"/>
      <c r="CL515" s="198"/>
      <c r="CM515" s="198"/>
      <c r="CN515" s="198"/>
      <c r="CO515" s="198"/>
      <c r="CP515" s="198"/>
      <c r="CQ515" s="198"/>
      <c r="CR515" s="198"/>
      <c r="CS515" s="199"/>
      <c r="CT515" s="199"/>
    </row>
    <row r="516" spans="1:98"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3"/>
        <v/>
      </c>
      <c r="AX516" s="205" t="str">
        <f t="shared" si="44"/>
        <v/>
      </c>
      <c r="AY516" s="205" t="str">
        <f>IF($AV516="","",$R$88)</f>
        <v/>
      </c>
      <c r="AZ516" s="205" t="str">
        <f t="shared" si="45"/>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6"/>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7"/>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8"/>
        <v/>
      </c>
      <c r="BR516" s="203" t="str">
        <f>IF($AV$486="","",IF($NJ$486&lt;&gt;"",$NJ$486,0)+IF($NP$486&lt;&gt;"",$NP$486,0)+IF($NR$486&lt;&gt;"",$NR$486,0))</f>
        <v/>
      </c>
      <c r="BS516" s="209">
        <f t="shared" si="49"/>
        <v>0</v>
      </c>
      <c r="BT516" s="209" t="str">
        <f t="shared" si="28"/>
        <v/>
      </c>
      <c r="BU516" s="198"/>
      <c r="BV516" s="198"/>
      <c r="BW516" s="198"/>
      <c r="BX516" s="203">
        <f>SUM(S88:V88)</f>
        <v>0</v>
      </c>
      <c r="BY516" s="502"/>
      <c r="BZ516" s="198"/>
      <c r="CA516" s="198"/>
      <c r="CB516" s="335"/>
      <c r="CC516" s="335"/>
      <c r="CD516" s="335"/>
      <c r="CE516" s="335"/>
      <c r="CF516" s="198"/>
      <c r="CG516" s="199"/>
      <c r="CH516" s="199"/>
      <c r="CI516" s="199"/>
      <c r="CJ516" s="198"/>
      <c r="CK516" s="198"/>
      <c r="CL516" s="198"/>
      <c r="CM516" s="198"/>
      <c r="CN516" s="198"/>
      <c r="CO516" s="198"/>
      <c r="CP516" s="198"/>
      <c r="CQ516" s="198"/>
      <c r="CR516" s="198"/>
      <c r="CS516" s="199"/>
      <c r="CT516" s="199"/>
    </row>
    <row r="517" spans="1:98"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3"/>
        <v/>
      </c>
      <c r="AX517" s="205" t="str">
        <f t="shared" si="44"/>
        <v/>
      </c>
      <c r="AY517" s="205" t="str">
        <f>IF($AV517="","",$R$91)</f>
        <v/>
      </c>
      <c r="AZ517" s="205" t="str">
        <f t="shared" si="45"/>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6"/>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7"/>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8"/>
        <v/>
      </c>
      <c r="BR517" s="203" t="str">
        <f>IF($AV$486="","",IF($NJ$486&lt;&gt;"",$NJ$486,0)+IF($NP$486&lt;&gt;"",$NP$486,0)+IF($NR$486&lt;&gt;"",$NR$486,0))</f>
        <v/>
      </c>
      <c r="BS517" s="209">
        <f t="shared" si="49"/>
        <v>0</v>
      </c>
      <c r="BT517" s="209" t="str">
        <f t="shared" si="28"/>
        <v/>
      </c>
      <c r="BU517" s="198"/>
      <c r="BV517" s="198"/>
      <c r="BW517" s="198"/>
      <c r="BX517" s="203"/>
      <c r="BY517" s="502"/>
      <c r="BZ517" s="198"/>
      <c r="CA517" s="198"/>
      <c r="CB517" s="335"/>
      <c r="CC517" s="335"/>
      <c r="CD517" s="335"/>
      <c r="CE517" s="335"/>
      <c r="CF517" s="198"/>
      <c r="CG517" s="199"/>
      <c r="CH517" s="199"/>
      <c r="CI517" s="199"/>
      <c r="CJ517" s="198"/>
      <c r="CK517" s="198"/>
      <c r="CL517" s="198"/>
      <c r="CM517" s="198"/>
      <c r="CN517" s="198"/>
      <c r="CO517" s="198"/>
      <c r="CP517" s="198"/>
      <c r="CQ517" s="198"/>
      <c r="CR517" s="198"/>
      <c r="CS517" s="199"/>
      <c r="CT517" s="199"/>
    </row>
    <row r="518" spans="1:98"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8"/>
        <v/>
      </c>
    </row>
    <row r="519" spans="1:98"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90" t="s">
        <v>189</v>
      </c>
      <c r="AU519" s="506"/>
      <c r="AV519" s="506"/>
      <c r="AW519" s="506"/>
      <c r="AX519" s="506"/>
      <c r="AY519" s="506"/>
      <c r="AZ519" s="506"/>
      <c r="BA519" s="506"/>
      <c r="BB519" s="506"/>
      <c r="BC519" s="506"/>
      <c r="BD519" s="506"/>
      <c r="BE519" s="506"/>
      <c r="BF519" s="506"/>
      <c r="BG519" s="506"/>
      <c r="BH519" s="506"/>
      <c r="BI519" s="506"/>
      <c r="BJ519" s="506"/>
      <c r="BK519" s="506"/>
      <c r="BL519" s="506"/>
      <c r="BM519" s="506"/>
      <c r="BN519" s="506"/>
      <c r="BO519" s="506"/>
      <c r="BP519" s="506"/>
      <c r="BQ519" s="506"/>
      <c r="BR519" s="507"/>
      <c r="BT519" s="209" t="str">
        <f t="shared" si="28"/>
        <v/>
      </c>
    </row>
    <row r="520" spans="1:98"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90" t="s">
        <v>160</v>
      </c>
      <c r="AU520" s="491"/>
      <c r="AV520" s="491"/>
      <c r="AW520" s="491"/>
      <c r="AX520" s="491"/>
      <c r="AY520" s="491"/>
      <c r="AZ520" s="491"/>
      <c r="BA520" s="491"/>
      <c r="BB520" s="491"/>
      <c r="BC520" s="491"/>
      <c r="BD520" s="491"/>
      <c r="BE520" s="491"/>
      <c r="BF520" s="491"/>
      <c r="BG520" s="491"/>
      <c r="BH520" s="491"/>
      <c r="BI520" s="491"/>
      <c r="BJ520" s="491"/>
      <c r="BK520" s="491"/>
      <c r="BL520" s="491"/>
      <c r="BM520" s="491"/>
      <c r="BN520" s="491"/>
      <c r="BO520" s="491"/>
      <c r="BP520" s="491"/>
      <c r="BQ520" s="491"/>
      <c r="BR520" s="492"/>
      <c r="BS520" s="219"/>
      <c r="BT520" s="209" t="str">
        <f t="shared" si="28"/>
        <v/>
      </c>
      <c r="BU520" s="198"/>
      <c r="BV520" s="198"/>
      <c r="BW520" s="198"/>
      <c r="BX520" s="198"/>
      <c r="BY520" s="198"/>
      <c r="BZ520" s="198"/>
      <c r="CA520" s="198"/>
      <c r="CB520" s="335"/>
      <c r="CC520" s="335"/>
      <c r="CD520" s="335"/>
      <c r="CE520" s="335"/>
      <c r="CF520" s="198"/>
      <c r="CG520" s="199"/>
      <c r="CH520" s="199"/>
      <c r="CI520" s="199"/>
      <c r="CJ520" s="198"/>
      <c r="CK520" s="198"/>
      <c r="CL520" s="198"/>
      <c r="CM520" s="198"/>
      <c r="CN520" s="198"/>
      <c r="CO520" s="198"/>
      <c r="CP520" s="198"/>
      <c r="CQ520" s="198"/>
      <c r="CR520" s="198"/>
      <c r="CS520" s="199"/>
      <c r="CT520" s="199"/>
    </row>
    <row r="521" spans="1:98" s="230" customFormat="1" ht="21" hidden="1" customHeight="1" x14ac:dyDescent="0.25">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28"/>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c r="CQ521" s="234"/>
      <c r="CR521" s="234"/>
      <c r="CS521" s="234"/>
      <c r="CT521" s="234"/>
    </row>
    <row r="522" spans="1:98"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M60.22.01.S5-01</v>
      </c>
      <c r="AU522" s="205">
        <v>1</v>
      </c>
      <c r="AV522" s="205" t="str">
        <f>IF(COUNTIFS($B$113,"&lt;&gt;"&amp;""),$B$113,"")</f>
        <v>Disciplină opțională 1. Noţiuni de detaliere tehnică CAD</v>
      </c>
      <c r="AW522" s="205">
        <f t="shared" ref="AW522:AW531" si="50">IF($AV522="","",ROUND(RIGHT($B$112,1)/2,0))</f>
        <v>1</v>
      </c>
      <c r="AX522" s="205" t="str">
        <f t="shared" ref="AX522:AX531" si="51">IF($AV522="","",RIGHT($B$112,1))</f>
        <v>1</v>
      </c>
      <c r="AY522" s="205" t="str">
        <f>IF($AV522="","",$F$115)</f>
        <v>E</v>
      </c>
      <c r="AZ522" s="205" t="str">
        <f>IF($AV522="","","DO")</f>
        <v>DO</v>
      </c>
      <c r="BA522" s="205">
        <f>IF(COUNTIFS($B$113,"&lt;&gt;"&amp;""),ROUND($G$115/14,1),"")</f>
        <v>2</v>
      </c>
      <c r="BB522" s="205">
        <f>IF(COUNTIFS($B$113,"&lt;&gt;"&amp;""),ROUND(($H$115+$I$115+$J$115)/14,1),"")</f>
        <v>0</v>
      </c>
      <c r="BC522" s="205">
        <f>IF(COUNTIFS($B$113,"&lt;&gt;"&amp;""),ROUND(($G$115+$H$115+$I$115+$J$115)/14,1),"")</f>
        <v>2</v>
      </c>
      <c r="BD522" s="205">
        <f>IF(COUNTIFS($B$113,"&lt;&gt;"&amp;""),ROUND($G$115,1),"")</f>
        <v>28</v>
      </c>
      <c r="BE522" s="205">
        <f>IF(COUNTIFS($B$113,"&lt;&gt;"&amp;""),ROUND(($H$115+$I$115+$J$115),1),"")</f>
        <v>0</v>
      </c>
      <c r="BF522" s="205">
        <f>IF(COUNTIFS($B$113,"&lt;&gt;"&amp;""),ROUND(($G$115+$H$115+$I$115+$J$115),1),"")</f>
        <v>28</v>
      </c>
      <c r="BG522" s="205"/>
      <c r="BH522" s="205"/>
      <c r="BI522" s="205"/>
      <c r="BJ522" s="205"/>
      <c r="BK522" s="205"/>
      <c r="BL522" s="205"/>
      <c r="BM522" s="205" t="e">
        <f>IF(COUNTIFS($B$113,"&lt;&gt;"&amp;""),IF($L$115&lt;&gt;"",ROUND($L$115/14,1),""),"")</f>
        <v>#VALUE!</v>
      </c>
      <c r="BN522" s="205" t="e">
        <f>IF(COUNTIFS($B$113,"&lt;&gt;"&amp;""),IF($L$115&lt;&gt;"",ROUND($L$115,1),""),"")</f>
        <v>#VALUE!</v>
      </c>
      <c r="BO522" s="205">
        <f>IF($AV522="","",$E$115)</f>
        <v>4</v>
      </c>
      <c r="BP522" s="207">
        <f>IF(COUNTIFS($B$113,"&lt;&gt;"&amp;""),$K$115,"")</f>
        <v>0</v>
      </c>
      <c r="BQ522" s="207" t="e">
        <f>IF($AV522="","",IF($BC522&lt;&gt;"",$BC522,0)+IF($BI522&lt;&gt;"",$BI522,0)+IF($BM522&lt;&gt;"",$BM522,0))</f>
        <v>#VALUE!</v>
      </c>
      <c r="BR522" s="205" t="e">
        <f>IF($AV522="","",IF($BF522&lt;&gt;"",$BF522,0)+IF($BL522&lt;&gt;"",$BL522,0)+IF($BN522&lt;&gt;"",$BN522,0))</f>
        <v>#VALUE!</v>
      </c>
      <c r="BT522" s="209" t="str">
        <f t="shared" si="28"/>
        <v>2022</v>
      </c>
      <c r="BU522" s="198"/>
      <c r="BV522" s="198"/>
      <c r="BW522" s="198"/>
      <c r="BX522" s="198"/>
      <c r="BY522" s="198"/>
      <c r="BZ522" s="198"/>
      <c r="CA522" s="198"/>
      <c r="CB522" s="335"/>
      <c r="CC522" s="335"/>
      <c r="CD522" s="335"/>
      <c r="CE522" s="335"/>
      <c r="CF522" s="198"/>
      <c r="CG522" s="199"/>
      <c r="CH522" s="199"/>
      <c r="CI522" s="199"/>
      <c r="CJ522" s="198"/>
      <c r="CK522" s="198"/>
      <c r="CL522" s="198"/>
      <c r="CM522" s="198"/>
      <c r="CN522" s="198"/>
      <c r="CO522" s="198"/>
      <c r="CP522" s="198"/>
      <c r="CQ522" s="198"/>
      <c r="CR522" s="198"/>
      <c r="CS522" s="199"/>
      <c r="CT522" s="199"/>
    </row>
    <row r="523" spans="1:98"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M60.22.01.S5-02</v>
      </c>
      <c r="AU523" s="203">
        <v>2</v>
      </c>
      <c r="AV523" s="205" t="str">
        <f>IF(COUNTIFS($B$116,"&lt;&gt;"&amp;""),$B$116,"")</f>
        <v>Disciplină opțională 1. Modelare 3D avansată și fabricație digitală</v>
      </c>
      <c r="AW523" s="205">
        <f t="shared" si="50"/>
        <v>1</v>
      </c>
      <c r="AX523" s="205" t="str">
        <f t="shared" si="51"/>
        <v>1</v>
      </c>
      <c r="AY523" s="205" t="str">
        <f>IF($AV523="","",$F$118)</f>
        <v>E</v>
      </c>
      <c r="AZ523" s="205" t="str">
        <f t="shared" ref="AZ523:AZ531" si="52">IF($AV523="","","DO")</f>
        <v>DO</v>
      </c>
      <c r="BA523" s="205">
        <f>IF(COUNTIFS($B$116,"&lt;&gt;"&amp;""),ROUND($G$118/14,1),"")</f>
        <v>2</v>
      </c>
      <c r="BB523" s="205">
        <f>IF(COUNTIFS($B$116,"&lt;&gt;"&amp;""),ROUND(($H$118+$I$118+$J$118)/14,1),"")</f>
        <v>0</v>
      </c>
      <c r="BC523" s="205">
        <f>IF(COUNTIFS($B$116,"&lt;&gt;"&amp;""),ROUND(($G$118+$H$118+$I$118+$J$118)/14,1),"")</f>
        <v>2</v>
      </c>
      <c r="BD523" s="205">
        <f>IF(COUNTIFS($B$116,"&lt;&gt;"&amp;""),ROUND($G$118,1),"")</f>
        <v>28</v>
      </c>
      <c r="BE523" s="205">
        <f>IF(COUNTIFS($B$116,"&lt;&gt;"&amp;""),ROUND(($H$118+$I$118+$J$118),1),"")</f>
        <v>0</v>
      </c>
      <c r="BF523" s="205">
        <f>IF(COUNTIFS($B$116,"&lt;&gt;"&amp;""),ROUND(($G$118+$H$118+$I$118+$J$118),1),"")</f>
        <v>28</v>
      </c>
      <c r="BG523" s="203"/>
      <c r="BH523" s="205"/>
      <c r="BI523" s="205"/>
      <c r="BJ523" s="203"/>
      <c r="BK523" s="205"/>
      <c r="BL523" s="205"/>
      <c r="BM523" s="205" t="e">
        <f>IF(COUNTIFS($B$116,"&lt;&gt;"&amp;""),IF($L$118&lt;&gt;"",ROUND($L$118/14,1),""),"")</f>
        <v>#VALUE!</v>
      </c>
      <c r="BN523" s="205" t="e">
        <f>IF(COUNTIFS($B$116,"&lt;&gt;"&amp;""),IF($L$118&lt;&gt;"",ROUND($L$118,1),""),"")</f>
        <v>#VALUE!</v>
      </c>
      <c r="BO523" s="205">
        <f>IF($AV523="","",$E$118)</f>
        <v>4</v>
      </c>
      <c r="BP523" s="207">
        <f>IF(COUNTIFS($B$116,"&lt;&gt;"&amp;""),$K$118,"")</f>
        <v>0</v>
      </c>
      <c r="BQ523" s="207" t="e">
        <f t="shared" ref="BQ523:BQ531" si="53">IF($AV523="","",IF($BC523&lt;&gt;"",$BC523,0)+IF($BI523&lt;&gt;"",$BI523,0)+IF($BM523&lt;&gt;"",$BM523,0))</f>
        <v>#VALUE!</v>
      </c>
      <c r="BR523" s="205" t="e">
        <f t="shared" ref="BR523:BR531" si="54">IF($AV523="","",IF($BF523&lt;&gt;"",$BF523,0)+IF($BL523&lt;&gt;"",$BL523,0)+IF($BN523&lt;&gt;"",$BN523,0))</f>
        <v>#VALUE!</v>
      </c>
      <c r="BT523" s="209" t="str">
        <f t="shared" si="28"/>
        <v>2022</v>
      </c>
      <c r="BU523" s="198"/>
      <c r="BV523" s="198"/>
      <c r="BW523" s="198"/>
      <c r="BX523" s="198"/>
      <c r="BY523" s="198"/>
      <c r="BZ523" s="198"/>
      <c r="CA523" s="198"/>
      <c r="CB523" s="335"/>
      <c r="CC523" s="335"/>
      <c r="CD523" s="335"/>
      <c r="CE523" s="335"/>
      <c r="CF523" s="198"/>
      <c r="CG523" s="199"/>
      <c r="CH523" s="199"/>
      <c r="CI523" s="199"/>
      <c r="CJ523" s="198"/>
      <c r="CK523" s="198"/>
      <c r="CL523" s="198"/>
      <c r="CM523" s="198"/>
      <c r="CN523" s="198"/>
      <c r="CO523" s="198"/>
      <c r="CP523" s="198"/>
      <c r="CQ523" s="198"/>
      <c r="CR523" s="198"/>
      <c r="CS523" s="199"/>
      <c r="CT523" s="199"/>
    </row>
    <row r="524" spans="1:98"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M60.22.01.S5-03</v>
      </c>
      <c r="AU524" s="203">
        <v>3</v>
      </c>
      <c r="AV524" s="205" t="str">
        <f>IF(COUNTIFS($B$119,"&lt;&gt;"&amp;""),$B$119,"")</f>
        <v>Disciplină opțională 2. Intervenţii structurale şi nestructurale în arhitectura de interior</v>
      </c>
      <c r="AW524" s="205">
        <f t="shared" si="50"/>
        <v>1</v>
      </c>
      <c r="AX524" s="205" t="str">
        <f t="shared" si="51"/>
        <v>1</v>
      </c>
      <c r="AY524" s="205" t="str">
        <f>IF($AV524="","",$F$121)</f>
        <v>E</v>
      </c>
      <c r="AZ524" s="205" t="str">
        <f t="shared" si="52"/>
        <v>DO</v>
      </c>
      <c r="BA524" s="205">
        <f>IF(COUNTIFS($B$119,"&lt;&gt;"&amp;""),ROUND($G$121/14,1),"")</f>
        <v>2</v>
      </c>
      <c r="BB524" s="205">
        <f>IF(COUNTIFS($B$119,"&lt;&gt;"&amp;""),ROUND(($H$121+$I$121+$J$121)/14,1),"")</f>
        <v>0</v>
      </c>
      <c r="BC524" s="205">
        <f>IF(COUNTIFS($B$119,"&lt;&gt;"&amp;""),ROUND(($G$121+$H$121+$I$121+$J$121)/14,1),"")</f>
        <v>2</v>
      </c>
      <c r="BD524" s="205">
        <f>IF(COUNTIFS($B$119,"&lt;&gt;"&amp;""),ROUND($G$121,1),"")</f>
        <v>28</v>
      </c>
      <c r="BE524" s="205">
        <f>IF(COUNTIFS($B$119,"&lt;&gt;"&amp;""),ROUND(($H$121+$I$121+$J$121),1),"")</f>
        <v>0</v>
      </c>
      <c r="BF524" s="205">
        <f>IF(COUNTIFS($B$119,"&lt;&gt;"&amp;""),ROUND(($G$121+$H$121+$I$121+$J$121),1),"")</f>
        <v>28</v>
      </c>
      <c r="BG524" s="203"/>
      <c r="BH524" s="205"/>
      <c r="BI524" s="205"/>
      <c r="BJ524" s="203"/>
      <c r="BK524" s="205"/>
      <c r="BL524" s="205"/>
      <c r="BM524" s="205" t="e">
        <f>IF(COUNTIFS($B$119,"&lt;&gt;"&amp;""),IF($L$121&lt;&gt;"",ROUND($L$121/14,1),""),"")</f>
        <v>#VALUE!</v>
      </c>
      <c r="BN524" s="205" t="e">
        <f>IF(COUNTIFS($B$119,"&lt;&gt;"&amp;""),IF($L$121&lt;&gt;"",ROUND($L$121,1),""),"")</f>
        <v>#VALUE!</v>
      </c>
      <c r="BO524" s="205">
        <f>IF($AV524="","",$E$121)</f>
        <v>4</v>
      </c>
      <c r="BP524" s="207">
        <f>IF(COUNTIFS($B$119,"&lt;&gt;"&amp;""),$K$121,"")</f>
        <v>0</v>
      </c>
      <c r="BQ524" s="207" t="e">
        <f t="shared" si="53"/>
        <v>#VALUE!</v>
      </c>
      <c r="BR524" s="205" t="e">
        <f t="shared" si="54"/>
        <v>#VALUE!</v>
      </c>
      <c r="BT524" s="209" t="str">
        <f t="shared" si="28"/>
        <v>2022</v>
      </c>
      <c r="BU524" s="198"/>
      <c r="BV524" s="198"/>
      <c r="BW524" s="198"/>
      <c r="BX524" s="198"/>
      <c r="BY524" s="198"/>
      <c r="BZ524" s="198"/>
      <c r="CA524" s="198"/>
      <c r="CB524" s="335"/>
      <c r="CC524" s="335"/>
      <c r="CD524" s="335"/>
      <c r="CE524" s="335"/>
      <c r="CF524" s="198"/>
      <c r="CG524" s="199"/>
      <c r="CH524" s="199"/>
      <c r="CI524" s="199"/>
      <c r="CJ524" s="198"/>
      <c r="CK524" s="198"/>
      <c r="CL524" s="198"/>
      <c r="CM524" s="198"/>
      <c r="CN524" s="198"/>
      <c r="CO524" s="198"/>
      <c r="CP524" s="198"/>
      <c r="CQ524" s="198"/>
      <c r="CR524" s="198"/>
      <c r="CS524" s="199"/>
      <c r="CT524" s="199"/>
    </row>
    <row r="525" spans="1:98"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M60.22.01.S5-04</v>
      </c>
      <c r="AU525" s="203">
        <v>4</v>
      </c>
      <c r="AV525" s="205" t="str">
        <f>IF(COUNTIFS($B$122,"&lt;&gt;"&amp;""),$B$122,"")</f>
        <v>Disciplină opțională 2. Estetica elementelor structurale în arhitectura de interior</v>
      </c>
      <c r="AW525" s="205">
        <f t="shared" si="50"/>
        <v>1</v>
      </c>
      <c r="AX525" s="205" t="str">
        <f t="shared" si="51"/>
        <v>1</v>
      </c>
      <c r="AY525" s="205" t="str">
        <f>IF($AV525="","",$F$124)</f>
        <v>E</v>
      </c>
      <c r="AZ525" s="205" t="str">
        <f t="shared" si="52"/>
        <v>DO</v>
      </c>
      <c r="BA525" s="205">
        <f>IF(COUNTIFS($B$122,"&lt;&gt;"&amp;""),ROUND($G$124/14,1),"")</f>
        <v>2</v>
      </c>
      <c r="BB525" s="205">
        <f>IF(COUNTIFS($B$122,"&lt;&gt;"&amp;""),ROUND(($H$124+$I$124+$J$124)/14,1),"")</f>
        <v>0</v>
      </c>
      <c r="BC525" s="205">
        <f>IF(COUNTIFS($B$122,"&lt;&gt;"&amp;""),ROUND(($G$124+$H$124+$I$124+$J$124)/14,1),"")</f>
        <v>2</v>
      </c>
      <c r="BD525" s="205">
        <f>IF(COUNTIFS($B$122,"&lt;&gt;"&amp;""),ROUND($G$124,1),"")</f>
        <v>28</v>
      </c>
      <c r="BE525" s="205">
        <f>IF(COUNTIFS($B$122,"&lt;&gt;"&amp;""),ROUND(($H$124+$I$124+$J$124),1),"")</f>
        <v>0</v>
      </c>
      <c r="BF525" s="205">
        <f>IF(COUNTIFS($B$122,"&lt;&gt;"&amp;""),ROUND(($G$124+$H$124+$I$124+$J$124),1),"")</f>
        <v>28</v>
      </c>
      <c r="BG525" s="203"/>
      <c r="BH525" s="205"/>
      <c r="BI525" s="205"/>
      <c r="BJ525" s="203"/>
      <c r="BK525" s="205"/>
      <c r="BL525" s="205"/>
      <c r="BM525" s="205" t="e">
        <f>IF(COUNTIFS($B$122,"&lt;&gt;"&amp;""),IF($L$124&lt;&gt;"",ROUND($L$124/14,1),""),"")</f>
        <v>#VALUE!</v>
      </c>
      <c r="BN525" s="205" t="e">
        <f>IF(COUNTIFS($B$122,"&lt;&gt;"&amp;""),IF($L$124&lt;&gt;"",ROUND($L$124,1),""),"")</f>
        <v>#VALUE!</v>
      </c>
      <c r="BO525" s="205">
        <f>IF($AV525="","",$E$124)</f>
        <v>4</v>
      </c>
      <c r="BP525" s="207">
        <f>IF(COUNTIFS($B$122,"&lt;&gt;"&amp;""),$K$124,"")</f>
        <v>0</v>
      </c>
      <c r="BQ525" s="207" t="e">
        <f t="shared" si="53"/>
        <v>#VALUE!</v>
      </c>
      <c r="BR525" s="205" t="e">
        <f t="shared" si="54"/>
        <v>#VALUE!</v>
      </c>
      <c r="BT525" s="209" t="str">
        <f t="shared" si="28"/>
        <v>2022</v>
      </c>
      <c r="BU525" s="198"/>
      <c r="BV525" s="198"/>
      <c r="BW525" s="198"/>
      <c r="BX525" s="198"/>
      <c r="BY525" s="198"/>
      <c r="BZ525" s="198"/>
      <c r="CA525" s="198"/>
      <c r="CB525" s="335"/>
      <c r="CC525" s="335"/>
      <c r="CD525" s="335"/>
      <c r="CE525" s="335"/>
      <c r="CF525" s="198"/>
      <c r="CG525" s="199"/>
      <c r="CH525" s="199"/>
      <c r="CI525" s="199"/>
      <c r="CJ525" s="198"/>
      <c r="CK525" s="198"/>
      <c r="CL525" s="198"/>
      <c r="CM525" s="198"/>
      <c r="CN525" s="198"/>
      <c r="CO525" s="198"/>
      <c r="CP525" s="198"/>
      <c r="CQ525" s="198"/>
      <c r="CR525" s="198"/>
      <c r="CS525" s="199"/>
      <c r="CT525" s="199"/>
    </row>
    <row r="526" spans="1:98"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28"/>
        <v/>
      </c>
      <c r="BU526" s="198"/>
      <c r="BV526" s="198"/>
      <c r="BW526" s="198"/>
      <c r="BX526" s="198"/>
      <c r="BY526" s="198"/>
      <c r="BZ526" s="198"/>
      <c r="CA526" s="198"/>
      <c r="CB526" s="335"/>
      <c r="CC526" s="335"/>
      <c r="CD526" s="335"/>
      <c r="CE526" s="335"/>
      <c r="CF526" s="198"/>
      <c r="CG526" s="199"/>
      <c r="CH526" s="199"/>
      <c r="CI526" s="199"/>
      <c r="CJ526" s="198"/>
      <c r="CK526" s="198"/>
      <c r="CL526" s="198"/>
      <c r="CM526" s="198"/>
      <c r="CN526" s="198"/>
      <c r="CO526" s="198"/>
      <c r="CP526" s="198"/>
      <c r="CQ526" s="198"/>
      <c r="CR526" s="198"/>
      <c r="CS526" s="199"/>
      <c r="CT526" s="199"/>
    </row>
    <row r="527" spans="1:98"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28"/>
        <v/>
      </c>
      <c r="BU527" s="198"/>
      <c r="BV527" s="198"/>
      <c r="BW527" s="198"/>
      <c r="BX527" s="198"/>
      <c r="BY527" s="198"/>
      <c r="BZ527" s="198"/>
      <c r="CA527" s="198"/>
      <c r="CB527" s="335"/>
      <c r="CC527" s="335"/>
      <c r="CD527" s="335"/>
      <c r="CE527" s="335"/>
      <c r="CF527" s="198"/>
      <c r="CG527" s="199"/>
      <c r="CH527" s="199"/>
      <c r="CI527" s="199"/>
      <c r="CJ527" s="198"/>
      <c r="CK527" s="198"/>
      <c r="CL527" s="198"/>
      <c r="CM527" s="198"/>
      <c r="CN527" s="198"/>
      <c r="CO527" s="198"/>
      <c r="CP527" s="198"/>
      <c r="CQ527" s="198"/>
      <c r="CR527" s="198"/>
      <c r="CS527" s="199"/>
      <c r="CT527" s="199"/>
    </row>
    <row r="528" spans="1:98"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28"/>
        <v/>
      </c>
      <c r="BU528" s="198"/>
      <c r="BV528" s="198"/>
      <c r="BW528" s="198"/>
      <c r="BX528" s="198"/>
      <c r="BY528" s="198"/>
      <c r="BZ528" s="198"/>
      <c r="CA528" s="198"/>
      <c r="CB528" s="335"/>
      <c r="CC528" s="335"/>
      <c r="CD528" s="335"/>
      <c r="CE528" s="335"/>
      <c r="CF528" s="198"/>
      <c r="CG528" s="199"/>
      <c r="CH528" s="199"/>
      <c r="CI528" s="199"/>
      <c r="CJ528" s="198"/>
      <c r="CK528" s="198"/>
      <c r="CL528" s="198"/>
      <c r="CM528" s="198"/>
      <c r="CN528" s="198"/>
      <c r="CO528" s="198"/>
      <c r="CP528" s="198"/>
      <c r="CQ528" s="198"/>
      <c r="CR528" s="198"/>
      <c r="CS528" s="199"/>
      <c r="CT528" s="199"/>
    </row>
    <row r="529" spans="1:98"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28"/>
        <v/>
      </c>
      <c r="BU529" s="198"/>
      <c r="BV529" s="198"/>
      <c r="BW529" s="198"/>
      <c r="BX529" s="198"/>
      <c r="BY529" s="198"/>
      <c r="BZ529" s="198"/>
      <c r="CA529" s="198"/>
      <c r="CB529" s="335"/>
      <c r="CC529" s="335"/>
      <c r="CD529" s="335"/>
      <c r="CE529" s="335"/>
      <c r="CF529" s="198"/>
      <c r="CG529" s="199"/>
      <c r="CH529" s="199"/>
      <c r="CI529" s="199"/>
      <c r="CJ529" s="198"/>
      <c r="CK529" s="198"/>
      <c r="CL529" s="198"/>
      <c r="CM529" s="198"/>
      <c r="CN529" s="198"/>
      <c r="CO529" s="198"/>
      <c r="CP529" s="198"/>
      <c r="CQ529" s="198"/>
      <c r="CR529" s="198"/>
      <c r="CS529" s="199"/>
      <c r="CT529" s="199"/>
    </row>
    <row r="530" spans="1:98"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28"/>
        <v/>
      </c>
      <c r="BU530" s="198"/>
      <c r="BV530" s="198"/>
      <c r="BW530" s="198"/>
      <c r="BX530" s="198"/>
      <c r="BY530" s="198"/>
      <c r="BZ530" s="198"/>
      <c r="CA530" s="198"/>
      <c r="CB530" s="335"/>
      <c r="CC530" s="335"/>
      <c r="CD530" s="335"/>
      <c r="CE530" s="335"/>
      <c r="CF530" s="198"/>
      <c r="CG530" s="199"/>
      <c r="CH530" s="199"/>
      <c r="CI530" s="199"/>
      <c r="CJ530" s="198"/>
      <c r="CK530" s="198"/>
      <c r="CL530" s="198"/>
      <c r="CM530" s="198"/>
      <c r="CN530" s="198"/>
      <c r="CO530" s="198"/>
      <c r="CP530" s="198"/>
      <c r="CQ530" s="198"/>
      <c r="CR530" s="198"/>
      <c r="CS530" s="199"/>
      <c r="CT530" s="199"/>
    </row>
    <row r="531" spans="1:98"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28"/>
        <v/>
      </c>
      <c r="BU531" s="198"/>
      <c r="BV531" s="198"/>
      <c r="BW531" s="198"/>
      <c r="BX531" s="198"/>
      <c r="BY531" s="198"/>
      <c r="BZ531" s="198"/>
      <c r="CA531" s="198"/>
      <c r="CB531" s="335"/>
      <c r="CC531" s="335"/>
      <c r="CD531" s="335"/>
      <c r="CE531" s="335"/>
      <c r="CF531" s="198"/>
      <c r="CG531" s="199"/>
      <c r="CH531" s="199"/>
      <c r="CI531" s="199"/>
      <c r="CJ531" s="198"/>
      <c r="CK531" s="198"/>
      <c r="CL531" s="198"/>
      <c r="CM531" s="198"/>
      <c r="CN531" s="198"/>
      <c r="CO531" s="198"/>
      <c r="CP531" s="198"/>
      <c r="CQ531" s="198"/>
      <c r="CR531" s="198"/>
      <c r="CS531" s="199"/>
      <c r="CT531" s="199"/>
    </row>
    <row r="532" spans="1:98"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90" t="s">
        <v>186</v>
      </c>
      <c r="AU532" s="491"/>
      <c r="AV532" s="491"/>
      <c r="AW532" s="491"/>
      <c r="AX532" s="491"/>
      <c r="AY532" s="491"/>
      <c r="AZ532" s="491"/>
      <c r="BA532" s="491"/>
      <c r="BB532" s="491"/>
      <c r="BC532" s="491"/>
      <c r="BD532" s="491"/>
      <c r="BE532" s="491"/>
      <c r="BF532" s="491"/>
      <c r="BG532" s="491"/>
      <c r="BH532" s="491"/>
      <c r="BI532" s="491"/>
      <c r="BJ532" s="491"/>
      <c r="BK532" s="491"/>
      <c r="BL532" s="491"/>
      <c r="BM532" s="491"/>
      <c r="BN532" s="491"/>
      <c r="BO532" s="491"/>
      <c r="BP532" s="491"/>
      <c r="BQ532" s="491"/>
      <c r="BR532" s="492"/>
      <c r="BS532" s="219"/>
      <c r="BT532" s="209" t="str">
        <f t="shared" si="28"/>
        <v/>
      </c>
      <c r="BU532" s="198"/>
      <c r="BV532" s="198"/>
      <c r="BW532" s="198"/>
      <c r="BX532" s="198"/>
      <c r="BY532" s="198"/>
      <c r="BZ532" s="198"/>
      <c r="CA532" s="198"/>
      <c r="CB532" s="335"/>
      <c r="CC532" s="335"/>
      <c r="CD532" s="335"/>
      <c r="CE532" s="335"/>
      <c r="CF532" s="198"/>
      <c r="CG532" s="199"/>
      <c r="CH532" s="199"/>
      <c r="CI532" s="199"/>
      <c r="CJ532" s="198"/>
      <c r="CK532" s="198"/>
      <c r="CL532" s="198"/>
      <c r="CM532" s="198"/>
      <c r="CN532" s="198"/>
      <c r="CO532" s="198"/>
      <c r="CP532" s="198"/>
      <c r="CQ532" s="198"/>
      <c r="CR532" s="198"/>
      <c r="CS532" s="199"/>
      <c r="CT532" s="199"/>
    </row>
    <row r="533" spans="1:98"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M60.22.02.S5-01</v>
      </c>
      <c r="AU533" s="205">
        <v>1</v>
      </c>
      <c r="AV533" s="205" t="str">
        <f>IF(COUNTIFS($N$113,"&lt;&gt;"&amp;""),$N$113,"")</f>
        <v>Disciplină opțională 3. Noţiuni de proiectare complexă asistată de calculator</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8"/>
        <v>2022</v>
      </c>
      <c r="BU533" s="198"/>
      <c r="BV533" s="198"/>
      <c r="BW533" s="198"/>
      <c r="BX533" s="198"/>
      <c r="BY533" s="198"/>
      <c r="BZ533" s="198"/>
      <c r="CA533" s="198"/>
      <c r="CB533" s="335"/>
      <c r="CC533" s="335"/>
      <c r="CD533" s="335"/>
      <c r="CE533" s="335"/>
      <c r="CF533" s="198"/>
      <c r="CG533" s="199"/>
      <c r="CH533" s="199"/>
      <c r="CI533" s="199"/>
      <c r="CJ533" s="198"/>
      <c r="CK533" s="198"/>
      <c r="CL533" s="198"/>
      <c r="CM533" s="198"/>
      <c r="CN533" s="198"/>
      <c r="CO533" s="198"/>
      <c r="CP533" s="198"/>
      <c r="CQ533" s="198"/>
      <c r="CR533" s="198"/>
      <c r="CS533" s="199"/>
      <c r="CT533" s="199"/>
    </row>
    <row r="534" spans="1:98"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M60.22.02.S5-02</v>
      </c>
      <c r="AU534" s="203">
        <v>2</v>
      </c>
      <c r="AV534" s="205" t="str">
        <f>IF(COUNTIFS($N$116,"&lt;&gt;"&amp;""),$N$116,"")</f>
        <v>Disciplină opțională 3. Devize și specificații tehnice  în proiecte de mobilier și amenajări interioare</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28"/>
        <v>2022</v>
      </c>
      <c r="BU534" s="198"/>
      <c r="BV534" s="198"/>
      <c r="BW534" s="198"/>
      <c r="BX534" s="198"/>
      <c r="BY534" s="198"/>
      <c r="BZ534" s="198"/>
      <c r="CA534" s="198"/>
      <c r="CB534" s="335"/>
      <c r="CC534" s="335"/>
      <c r="CD534" s="335"/>
      <c r="CE534" s="335"/>
      <c r="CF534" s="198"/>
      <c r="CG534" s="199"/>
      <c r="CH534" s="199"/>
      <c r="CI534" s="199"/>
      <c r="CJ534" s="198"/>
      <c r="CK534" s="198"/>
      <c r="CL534" s="198"/>
      <c r="CM534" s="198"/>
      <c r="CN534" s="198"/>
      <c r="CO534" s="198"/>
      <c r="CP534" s="198"/>
      <c r="CQ534" s="198"/>
      <c r="CR534" s="198"/>
      <c r="CS534" s="199"/>
      <c r="CT534" s="199"/>
    </row>
    <row r="535" spans="1:98"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M60.22.02.S5-03</v>
      </c>
      <c r="AU535" s="203">
        <v>3</v>
      </c>
      <c r="AV535" s="205" t="str">
        <f>IF(COUNTIFS($N$119,"&lt;&gt;"&amp;""),$N$119,"")</f>
        <v>Disciplină opțională 4. Detaliere mobilier contemporan</v>
      </c>
      <c r="AW535" s="205">
        <f t="shared" si="55"/>
        <v>1</v>
      </c>
      <c r="AX535" s="205" t="str">
        <f t="shared" si="56"/>
        <v>2</v>
      </c>
      <c r="AY535" s="205">
        <f>IF($AV535="","",$Q$190)</f>
        <v>0</v>
      </c>
      <c r="AZ535" s="205" t="str">
        <f t="shared" si="57"/>
        <v>DO</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CF={DA, DCAV, DS, DC}</v>
      </c>
      <c r="BP535" s="207" t="str">
        <f>IF(COUNTIFS($M$188,"&lt;&gt;"&amp;""),$V$190,"")</f>
        <v/>
      </c>
      <c r="BQ535" s="207">
        <f t="shared" si="58"/>
        <v>0</v>
      </c>
      <c r="BR535" s="205">
        <f t="shared" si="59"/>
        <v>0</v>
      </c>
      <c r="BT535" s="209" t="str">
        <f t="shared" si="28"/>
        <v>2022</v>
      </c>
      <c r="BU535" s="198"/>
      <c r="BV535" s="198"/>
      <c r="BW535" s="198"/>
      <c r="BX535" s="198"/>
      <c r="BY535" s="198"/>
      <c r="BZ535" s="198"/>
      <c r="CA535" s="198"/>
      <c r="CB535" s="335"/>
      <c r="CC535" s="335"/>
      <c r="CD535" s="335"/>
      <c r="CE535" s="335"/>
      <c r="CF535" s="198"/>
      <c r="CG535" s="199"/>
      <c r="CH535" s="199"/>
      <c r="CI535" s="199"/>
      <c r="CJ535" s="198"/>
      <c r="CK535" s="198"/>
      <c r="CL535" s="198"/>
      <c r="CM535" s="198"/>
      <c r="CN535" s="198"/>
      <c r="CO535" s="198"/>
      <c r="CP535" s="198"/>
      <c r="CQ535" s="198"/>
      <c r="CR535" s="198"/>
      <c r="CS535" s="199"/>
      <c r="CT535" s="199"/>
    </row>
    <row r="536" spans="1:98"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M60.22.02.S5-04</v>
      </c>
      <c r="AU536" s="203">
        <v>4</v>
      </c>
      <c r="AV536" s="205" t="str">
        <f>IF(COUNTIFS($N$122,"&lt;&gt;"&amp;""),$N$122,"")</f>
        <v>Disciplină opțională 4. Sisteme de echipare contemporană a mobilierului</v>
      </c>
      <c r="AW536" s="205">
        <f t="shared" si="55"/>
        <v>1</v>
      </c>
      <c r="AX536" s="205" t="str">
        <f t="shared" si="56"/>
        <v>2</v>
      </c>
      <c r="AY536" s="205" t="str">
        <f>IF($AV536="","",$Q$193)</f>
        <v>DS- disciplina de sinteza</v>
      </c>
      <c r="AZ536" s="205" t="str">
        <f t="shared" si="57"/>
        <v>DO</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f>IF($AV536="","",$P$193)</f>
        <v>0</v>
      </c>
      <c r="BP536" s="207" t="str">
        <f>IF(COUNTIFS($M$191,"&lt;&gt;"&amp;""),$V$193,"")</f>
        <v/>
      </c>
      <c r="BQ536" s="207">
        <f t="shared" si="58"/>
        <v>0</v>
      </c>
      <c r="BR536" s="205">
        <f t="shared" si="59"/>
        <v>0</v>
      </c>
      <c r="BT536" s="209" t="str">
        <f t="shared" si="28"/>
        <v>2022</v>
      </c>
      <c r="BU536" s="198"/>
      <c r="BV536" s="198"/>
      <c r="BW536" s="198"/>
      <c r="BX536" s="198"/>
      <c r="BY536" s="198"/>
      <c r="BZ536" s="198"/>
      <c r="CA536" s="198"/>
      <c r="CB536" s="335"/>
      <c r="CC536" s="335"/>
      <c r="CD536" s="335"/>
      <c r="CE536" s="335"/>
      <c r="CF536" s="198"/>
      <c r="CG536" s="199"/>
      <c r="CH536" s="199"/>
      <c r="CI536" s="199"/>
      <c r="CJ536" s="198"/>
      <c r="CK536" s="198"/>
      <c r="CL536" s="198"/>
      <c r="CM536" s="198"/>
      <c r="CN536" s="198"/>
      <c r="CO536" s="198"/>
      <c r="CP536" s="198"/>
      <c r="CQ536" s="198"/>
      <c r="CR536" s="198"/>
      <c r="CS536" s="199"/>
      <c r="CT536" s="199"/>
    </row>
    <row r="537" spans="1:98"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28"/>
        <v/>
      </c>
      <c r="BU537" s="198"/>
      <c r="BV537" s="198"/>
      <c r="BW537" s="198"/>
      <c r="BX537" s="198"/>
      <c r="BY537" s="198"/>
      <c r="BZ537" s="198"/>
      <c r="CA537" s="198"/>
      <c r="CB537" s="335"/>
      <c r="CC537" s="335"/>
      <c r="CD537" s="335"/>
      <c r="CE537" s="335"/>
      <c r="CF537" s="198"/>
      <c r="CG537" s="199"/>
      <c r="CH537" s="199"/>
      <c r="CI537" s="199"/>
      <c r="CJ537" s="198"/>
      <c r="CK537" s="198"/>
      <c r="CL537" s="198"/>
      <c r="CM537" s="198"/>
      <c r="CN537" s="198"/>
      <c r="CO537" s="198"/>
      <c r="CP537" s="198"/>
      <c r="CQ537" s="198"/>
      <c r="CR537" s="198"/>
      <c r="CS537" s="199"/>
      <c r="CT537" s="199"/>
    </row>
    <row r="538" spans="1:98"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28"/>
        <v/>
      </c>
      <c r="BU538" s="198"/>
      <c r="BV538" s="198"/>
      <c r="BW538" s="198"/>
      <c r="BX538" s="198"/>
      <c r="BY538" s="198"/>
      <c r="BZ538" s="198"/>
      <c r="CA538" s="198"/>
      <c r="CB538" s="335"/>
      <c r="CC538" s="335"/>
      <c r="CD538" s="335"/>
      <c r="CE538" s="335"/>
      <c r="CF538" s="198"/>
      <c r="CG538" s="199"/>
      <c r="CH538" s="199"/>
      <c r="CI538" s="199"/>
      <c r="CJ538" s="198"/>
      <c r="CK538" s="198"/>
      <c r="CL538" s="198"/>
      <c r="CM538" s="198"/>
      <c r="CN538" s="198"/>
      <c r="CO538" s="198"/>
      <c r="CP538" s="198"/>
      <c r="CQ538" s="198"/>
      <c r="CR538" s="198"/>
      <c r="CS538" s="199"/>
      <c r="CT538" s="199"/>
    </row>
    <row r="539" spans="1:98"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28"/>
        <v/>
      </c>
      <c r="BU539" s="198"/>
      <c r="BV539" s="198"/>
      <c r="BW539" s="198"/>
      <c r="BX539" s="198"/>
      <c r="BY539" s="198"/>
      <c r="BZ539" s="198"/>
      <c r="CA539" s="198"/>
      <c r="CB539" s="335"/>
      <c r="CC539" s="335"/>
      <c r="CD539" s="335"/>
      <c r="CE539" s="335"/>
      <c r="CF539" s="198"/>
      <c r="CG539" s="199"/>
      <c r="CH539" s="199"/>
      <c r="CI539" s="199"/>
      <c r="CJ539" s="198"/>
      <c r="CK539" s="198"/>
      <c r="CL539" s="198"/>
      <c r="CM539" s="198"/>
      <c r="CN539" s="198"/>
      <c r="CO539" s="198"/>
      <c r="CP539" s="198"/>
      <c r="CQ539" s="198"/>
      <c r="CR539" s="198"/>
      <c r="CS539" s="199"/>
      <c r="CT539" s="199"/>
    </row>
    <row r="540" spans="1:98"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28"/>
        <v/>
      </c>
      <c r="BU540" s="198"/>
      <c r="BV540" s="198"/>
      <c r="BW540" s="198"/>
      <c r="BX540" s="198"/>
      <c r="BY540" s="198"/>
      <c r="BZ540" s="198"/>
      <c r="CA540" s="198"/>
      <c r="CB540" s="335"/>
      <c r="CC540" s="335"/>
      <c r="CD540" s="335"/>
      <c r="CE540" s="335"/>
      <c r="CF540" s="198"/>
      <c r="CG540" s="199"/>
      <c r="CH540" s="199"/>
      <c r="CI540" s="199"/>
      <c r="CJ540" s="198"/>
      <c r="CK540" s="198"/>
      <c r="CL540" s="198"/>
      <c r="CM540" s="198"/>
      <c r="CN540" s="198"/>
      <c r="CO540" s="198"/>
      <c r="CP540" s="198"/>
      <c r="CQ540" s="198"/>
      <c r="CR540" s="198"/>
      <c r="CS540" s="199"/>
      <c r="CT540" s="199"/>
    </row>
    <row r="541" spans="1:98"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28"/>
        <v/>
      </c>
      <c r="BU541" s="198"/>
      <c r="BV541" s="198"/>
      <c r="BW541" s="198"/>
      <c r="BX541" s="198"/>
      <c r="BY541" s="198"/>
      <c r="BZ541" s="198"/>
      <c r="CA541" s="198"/>
      <c r="CB541" s="335"/>
      <c r="CC541" s="335"/>
      <c r="CD541" s="335"/>
      <c r="CE541" s="335"/>
      <c r="CF541" s="198"/>
      <c r="CG541" s="199"/>
      <c r="CH541" s="199"/>
      <c r="CI541" s="199"/>
      <c r="CJ541" s="198"/>
      <c r="CK541" s="198"/>
      <c r="CL541" s="198"/>
      <c r="CM541" s="198"/>
      <c r="CN541" s="198"/>
      <c r="CO541" s="198"/>
      <c r="CP541" s="198"/>
      <c r="CQ541" s="198"/>
      <c r="CR541" s="198"/>
      <c r="CS541" s="199"/>
      <c r="CT541" s="199"/>
    </row>
    <row r="542" spans="1:98"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28"/>
        <v/>
      </c>
      <c r="BU542" s="198"/>
      <c r="BV542" s="198"/>
      <c r="BW542" s="198"/>
      <c r="BX542" s="198"/>
      <c r="BY542" s="198"/>
      <c r="BZ542" s="198"/>
      <c r="CA542" s="198"/>
      <c r="CB542" s="335"/>
      <c r="CC542" s="335"/>
      <c r="CD542" s="335"/>
      <c r="CE542" s="335"/>
      <c r="CF542" s="198"/>
      <c r="CG542" s="199"/>
      <c r="CH542" s="199"/>
      <c r="CI542" s="199"/>
      <c r="CJ542" s="198"/>
      <c r="CK542" s="198"/>
      <c r="CL542" s="198"/>
      <c r="CM542" s="198"/>
      <c r="CN542" s="198"/>
      <c r="CO542" s="198"/>
      <c r="CP542" s="198"/>
      <c r="CQ542" s="198"/>
      <c r="CR542" s="198"/>
      <c r="CS542" s="199"/>
      <c r="CT542" s="199"/>
    </row>
    <row r="543" spans="1:98"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90" t="s">
        <v>187</v>
      </c>
      <c r="AU543" s="491"/>
      <c r="AV543" s="491"/>
      <c r="AW543" s="491"/>
      <c r="AX543" s="491"/>
      <c r="AY543" s="491"/>
      <c r="AZ543" s="491"/>
      <c r="BA543" s="491"/>
      <c r="BB543" s="491"/>
      <c r="BC543" s="491"/>
      <c r="BD543" s="491"/>
      <c r="BE543" s="491"/>
      <c r="BF543" s="491"/>
      <c r="BG543" s="491"/>
      <c r="BH543" s="491"/>
      <c r="BI543" s="491"/>
      <c r="BJ543" s="491"/>
      <c r="BK543" s="491"/>
      <c r="BL543" s="491"/>
      <c r="BM543" s="491"/>
      <c r="BN543" s="491"/>
      <c r="BO543" s="491"/>
      <c r="BP543" s="491"/>
      <c r="BQ543" s="491"/>
      <c r="BR543" s="492"/>
      <c r="BS543" s="219"/>
      <c r="BT543" s="209" t="str">
        <f t="shared" si="28"/>
        <v/>
      </c>
      <c r="BU543" s="198"/>
      <c r="BV543" s="198"/>
      <c r="BW543" s="198"/>
      <c r="BX543" s="198"/>
      <c r="BY543" s="198"/>
      <c r="BZ543" s="198"/>
      <c r="CA543" s="198"/>
      <c r="CB543" s="335"/>
      <c r="CC543" s="335"/>
      <c r="CD543" s="335"/>
      <c r="CE543" s="335"/>
      <c r="CF543" s="198"/>
      <c r="CG543" s="199"/>
      <c r="CH543" s="199"/>
      <c r="CI543" s="199"/>
      <c r="CJ543" s="198"/>
      <c r="CK543" s="198"/>
      <c r="CL543" s="198"/>
      <c r="CM543" s="198"/>
      <c r="CN543" s="198"/>
      <c r="CO543" s="198"/>
      <c r="CP543" s="198"/>
      <c r="CQ543" s="198"/>
      <c r="CR543" s="198"/>
      <c r="CS543" s="199"/>
      <c r="CT543" s="199"/>
    </row>
    <row r="544" spans="1:98"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M60.22.03.S5-01</v>
      </c>
      <c r="AU544" s="205">
        <v>1</v>
      </c>
      <c r="AV544" s="205" t="str">
        <f>IF(COUNTIFS($B$151,"&lt;&gt;"&amp;""),$B$151,"")</f>
        <v>Disciplină opțională 5. Metodologie și tehnici de cercetare în arhitectura de interior</v>
      </c>
      <c r="AW544" s="205">
        <f t="shared" ref="AW544:AW553" si="60">IF($AV544="","",ROUND(RIGHT($B$150,1)/2,0))</f>
        <v>2</v>
      </c>
      <c r="AX544" s="205" t="str">
        <f t="shared" ref="AX544:AX553" si="61">IF($AV544="","",RIGHT($B$150,1))</f>
        <v>3</v>
      </c>
      <c r="AY544" s="205" t="str">
        <f>IF($AV544="","",$F$153)</f>
        <v>D</v>
      </c>
      <c r="AZ544" s="205" t="str">
        <f>IF($AV544="","","DO")</f>
        <v>DO</v>
      </c>
      <c r="BA544" s="205">
        <f>IF(COUNTIFS($B$151,"&lt;&gt;"&amp;""),ROUND($G$153/14,1),"")</f>
        <v>1</v>
      </c>
      <c r="BB544" s="205">
        <f>IF(COUNTIFS($B$151,"&lt;&gt;"&amp;""),ROUND(($H$153+$I$153+$J$153)/14,1),"")</f>
        <v>1</v>
      </c>
      <c r="BC544" s="205">
        <f>IF(COUNTIFS($B$151,"&lt;&gt;"&amp;""),ROUND(($G$153+$H$153+$I$153+$J$153)/14,1),"")</f>
        <v>2</v>
      </c>
      <c r="BD544" s="205">
        <f>IF(COUNTIFS($B$151,"&lt;&gt;"&amp;""),ROUND($G$153,1),"")</f>
        <v>14</v>
      </c>
      <c r="BE544" s="205">
        <f>IF(COUNTIFS($B$151,"&lt;&gt;"&amp;""),ROUND(($H$153+$I$153+$J$153),1),"")</f>
        <v>14</v>
      </c>
      <c r="BF544" s="205">
        <f>IF(COUNTIFS($B$151,"&lt;&gt;"&amp;""),ROUND(($G$153+$H$153+$I$153+$J$153),1),"")</f>
        <v>28</v>
      </c>
      <c r="BG544" s="205"/>
      <c r="BH544" s="205"/>
      <c r="BI544" s="205"/>
      <c r="BJ544" s="205"/>
      <c r="BK544" s="205"/>
      <c r="BL544" s="205"/>
      <c r="BM544" s="205" t="e">
        <f>IF(COUNTIFS($B$151,"&lt;&gt;"&amp;""),IF($L$153&lt;&gt;"",ROUND($L$153/14,1),""),"")</f>
        <v>#VALUE!</v>
      </c>
      <c r="BN544" s="205" t="e">
        <f>IF(COUNTIFS($B$151,"&lt;&gt;"&amp;""),IF($L$153&lt;&gt;"",ROUND($L$153,1),""),"")</f>
        <v>#VALUE!</v>
      </c>
      <c r="BO544" s="205">
        <f>IF($AV544="","",$E$153)</f>
        <v>4</v>
      </c>
      <c r="BP544" s="207">
        <f>IF(COUNTIFS($B$151,"&lt;&gt;"&amp;""),$K$153,"")</f>
        <v>0</v>
      </c>
      <c r="BQ544" s="207" t="e">
        <f>IF($AV544="","",IF($BC544&lt;&gt;"",$BC544,0)+IF($BI544&lt;&gt;"",$BI544,0)+IF($BM544&lt;&gt;"",$BM544,0))</f>
        <v>#VALUE!</v>
      </c>
      <c r="BR544" s="205" t="e">
        <f>IF($AV544="","",IF($BF544&lt;&gt;"",$BF544,0)+IF($BL544&lt;&gt;"",$BL544,0)+IF($BN544&lt;&gt;"",$BN544,0))</f>
        <v>#VALUE!</v>
      </c>
      <c r="BT544" s="209" t="str">
        <f t="shared" ref="BT544:BT564" si="62">IF($AV544="","",CONCATENATE("20",G$17+AW544-1))</f>
        <v>2023</v>
      </c>
      <c r="BU544" s="198"/>
      <c r="BV544" s="198"/>
      <c r="BW544" s="198"/>
      <c r="BX544" s="198"/>
      <c r="BY544" s="198"/>
      <c r="BZ544" s="198"/>
      <c r="CA544" s="198"/>
      <c r="CB544" s="335"/>
      <c r="CC544" s="335"/>
      <c r="CD544" s="335"/>
      <c r="CE544" s="335"/>
      <c r="CF544" s="198"/>
      <c r="CG544" s="199"/>
      <c r="CH544" s="199"/>
      <c r="CI544" s="199"/>
      <c r="CJ544" s="198"/>
      <c r="CK544" s="198"/>
      <c r="CL544" s="198"/>
      <c r="CM544" s="198"/>
      <c r="CN544" s="198"/>
      <c r="CO544" s="198"/>
      <c r="CP544" s="198"/>
      <c r="CQ544" s="198"/>
      <c r="CR544" s="198"/>
      <c r="CS544" s="199"/>
      <c r="CT544" s="199"/>
    </row>
    <row r="545" spans="1:98"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M60.22.03.S5-02</v>
      </c>
      <c r="AU545" s="205">
        <v>2</v>
      </c>
      <c r="AV545" s="205" t="str">
        <f>IF(COUNTIFS($B$154,"&lt;&gt;"&amp;""),$B$154,"")</f>
        <v>Disciplină opțională 5. Metode avansate de comunicare profesională</v>
      </c>
      <c r="AW545" s="205">
        <f t="shared" si="60"/>
        <v>2</v>
      </c>
      <c r="AX545" s="205" t="str">
        <f t="shared" si="61"/>
        <v>3</v>
      </c>
      <c r="AY545" s="205" t="str">
        <f>IF($AV545="","",$F$156)</f>
        <v>D</v>
      </c>
      <c r="AZ545" s="205" t="str">
        <f t="shared" ref="AZ545:AZ553" si="63">IF($AV545="","","DO")</f>
        <v>DO</v>
      </c>
      <c r="BA545" s="205">
        <f>IF(COUNTIFS($B$154,"&lt;&gt;"&amp;""),ROUND($G$156/14,1),"")</f>
        <v>1</v>
      </c>
      <c r="BB545" s="205">
        <f>IF(COUNTIFS($B$154,"&lt;&gt;"&amp;""),ROUND(($H$156+$I$156+$J$156)/14,1),"")</f>
        <v>1</v>
      </c>
      <c r="BC545" s="205">
        <f>IF(COUNTIFS($B$154,"&lt;&gt;"&amp;""),ROUND(($G$156+$H$156+$I$156+$J$156)/14,1),"")</f>
        <v>2</v>
      </c>
      <c r="BD545" s="205">
        <f>IF(COUNTIFS($B$154,"&lt;&gt;"&amp;""),ROUND($G$156,1),"")</f>
        <v>14</v>
      </c>
      <c r="BE545" s="205">
        <f>IF(COUNTIFS($B$154,"&lt;&gt;"&amp;""),ROUND(($H$156+$I$156+$J$156),1),"")</f>
        <v>14</v>
      </c>
      <c r="BF545" s="205">
        <f>IF(COUNTIFS($B$154,"&lt;&gt;"&amp;""),ROUND(($G$156+$H$156+$I$156+$J$156),1),"")</f>
        <v>28</v>
      </c>
      <c r="BG545" s="205"/>
      <c r="BH545" s="205"/>
      <c r="BI545" s="205"/>
      <c r="BJ545" s="205"/>
      <c r="BK545" s="205"/>
      <c r="BL545" s="205"/>
      <c r="BM545" s="205" t="e">
        <f>IF(COUNTIFS($B$154,"&lt;&gt;"&amp;""),IF($L$156&lt;&gt;"",ROUND($L$156/14,1),""),"")</f>
        <v>#VALUE!</v>
      </c>
      <c r="BN545" s="205" t="e">
        <f>IF(COUNTIFS($B$154,"&lt;&gt;"&amp;""),IF($L$156&lt;&gt;"",ROUND($L$156,1),""),"")</f>
        <v>#VALUE!</v>
      </c>
      <c r="BO545" s="205">
        <f>IF($AV545="","",$E$156)</f>
        <v>4</v>
      </c>
      <c r="BP545" s="207">
        <f>IF(COUNTIFS($B$154,"&lt;&gt;"&amp;""),$K$156,"")</f>
        <v>0</v>
      </c>
      <c r="BQ545" s="207" t="e">
        <f t="shared" ref="BQ545:BQ553" si="64">IF($AV545="","",IF($BC545&lt;&gt;"",$BC545,0)+IF($BI545&lt;&gt;"",$BI545,0)+IF($BM545&lt;&gt;"",$BM545,0))</f>
        <v>#VALUE!</v>
      </c>
      <c r="BR545" s="205" t="e">
        <f t="shared" ref="BR545:BR553" si="65">IF($AV545="","",IF($BF545&lt;&gt;"",$BF545,0)+IF($BL545&lt;&gt;"",$BL545,0)+IF($BN545&lt;&gt;"",$BN545,0))</f>
        <v>#VALUE!</v>
      </c>
      <c r="BT545" s="209" t="str">
        <f t="shared" si="62"/>
        <v>2023</v>
      </c>
      <c r="BU545" s="198"/>
      <c r="BV545" s="198"/>
      <c r="BW545" s="198"/>
      <c r="BX545" s="198"/>
      <c r="BY545" s="198"/>
      <c r="BZ545" s="198"/>
      <c r="CA545" s="198"/>
      <c r="CB545" s="335"/>
      <c r="CC545" s="335"/>
      <c r="CD545" s="335"/>
      <c r="CE545" s="335"/>
      <c r="CF545" s="198"/>
      <c r="CG545" s="199"/>
      <c r="CH545" s="199"/>
      <c r="CI545" s="199"/>
      <c r="CJ545" s="198"/>
      <c r="CK545" s="198"/>
      <c r="CL545" s="198"/>
      <c r="CM545" s="198"/>
      <c r="CN545" s="198"/>
      <c r="CO545" s="198"/>
      <c r="CP545" s="198"/>
      <c r="CQ545" s="198"/>
      <c r="CR545" s="198"/>
      <c r="CS545" s="199"/>
      <c r="CT545" s="199"/>
    </row>
    <row r="546" spans="1:98"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M60.22.03.S5-03</v>
      </c>
      <c r="AU546" s="205">
        <v>3</v>
      </c>
      <c r="AV546" s="205" t="str">
        <f>IF(COUNTIFS($B$157,"&lt;&gt;"&amp;""),$B$157,"")</f>
        <v>Disciplină opțională 6.  Management economic</v>
      </c>
      <c r="AW546" s="205">
        <f t="shared" si="60"/>
        <v>2</v>
      </c>
      <c r="AX546" s="205" t="str">
        <f t="shared" si="61"/>
        <v>3</v>
      </c>
      <c r="AY546" s="205" t="str">
        <f>IF($AV546="","",$F$159)</f>
        <v>D</v>
      </c>
      <c r="AZ546" s="205" t="str">
        <f t="shared" si="63"/>
        <v>DO</v>
      </c>
      <c r="BA546" s="205">
        <f>IF(COUNTIFS($B$157,"&lt;&gt;"&amp;""),ROUND($G$159/14,1),"")</f>
        <v>1</v>
      </c>
      <c r="BB546" s="205">
        <f>IF(COUNTIFS($B$157,"&lt;&gt;"&amp;""),ROUND(($H$159+$I$159+$J$159)/14,1),"")</f>
        <v>1</v>
      </c>
      <c r="BC546" s="205">
        <f>IF(COUNTIFS($B$157,"&lt;&gt;"&amp;""),ROUND(($G$159+$H$159+$I$159+$J$159)/14,1),"")</f>
        <v>2</v>
      </c>
      <c r="BD546" s="205">
        <f>IF(COUNTIFS($B$157,"&lt;&gt;"&amp;""),ROUND($G$159,1),"")</f>
        <v>14</v>
      </c>
      <c r="BE546" s="205">
        <f>IF(COUNTIFS($B$157,"&lt;&gt;"&amp;""),ROUND(($H$159+$I$159+$J$159),1),"")</f>
        <v>14</v>
      </c>
      <c r="BF546" s="205">
        <f>IF(COUNTIFS($B$157,"&lt;&gt;"&amp;""),ROUND(($G$159+$H$159+$I$159+$J$159),1),"")</f>
        <v>28</v>
      </c>
      <c r="BG546" s="205"/>
      <c r="BH546" s="205"/>
      <c r="BI546" s="205"/>
      <c r="BJ546" s="205"/>
      <c r="BK546" s="205"/>
      <c r="BL546" s="205"/>
      <c r="BM546" s="205" t="e">
        <f>IF(COUNTIFS($B$157,"&lt;&gt;"&amp;""),IF($L$159&lt;&gt;"",ROUND($L$159/14,1),""),"")</f>
        <v>#VALUE!</v>
      </c>
      <c r="BN546" s="205" t="e">
        <f>IF(COUNTIFS($B$157,"&lt;&gt;"&amp;""),IF($L$159&lt;&gt;"",ROUND($L$159,1),""),"")</f>
        <v>#VALUE!</v>
      </c>
      <c r="BO546" s="205">
        <f>IF($AV546="","",$E$159)</f>
        <v>4</v>
      </c>
      <c r="BP546" s="207">
        <f>IF(COUNTIFS($B$157,"&lt;&gt;"&amp;""),$K$159,"")</f>
        <v>0</v>
      </c>
      <c r="BQ546" s="207" t="e">
        <f t="shared" si="64"/>
        <v>#VALUE!</v>
      </c>
      <c r="BR546" s="205" t="e">
        <f t="shared" si="65"/>
        <v>#VALUE!</v>
      </c>
      <c r="BT546" s="209" t="str">
        <f t="shared" si="62"/>
        <v>2023</v>
      </c>
      <c r="BU546" s="198"/>
      <c r="BV546" s="198"/>
      <c r="BW546" s="198"/>
      <c r="BX546" s="198"/>
      <c r="BY546" s="198"/>
      <c r="BZ546" s="198"/>
      <c r="CA546" s="198"/>
      <c r="CB546" s="335"/>
      <c r="CC546" s="335"/>
      <c r="CD546" s="335"/>
      <c r="CE546" s="335"/>
      <c r="CF546" s="198"/>
      <c r="CG546" s="199"/>
      <c r="CH546" s="199"/>
      <c r="CI546" s="199"/>
      <c r="CJ546" s="198"/>
      <c r="CK546" s="198"/>
      <c r="CL546" s="198"/>
      <c r="CM546" s="198"/>
      <c r="CN546" s="198"/>
      <c r="CO546" s="198"/>
      <c r="CP546" s="198"/>
      <c r="CQ546" s="198"/>
      <c r="CR546" s="198"/>
      <c r="CS546" s="199"/>
      <c r="CT546" s="199"/>
    </row>
    <row r="547" spans="1:98"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M60.22.03.S5-04</v>
      </c>
      <c r="AU547" s="205">
        <v>4</v>
      </c>
      <c r="AV547" s="205" t="str">
        <f>IF(COUNTIFS($B$160,"&lt;&gt;"&amp;""),$B$160,"")</f>
        <v>Disciplină opțională 6. Eficiența economică și financiară a proiectelor de investiții</v>
      </c>
      <c r="AW547" s="205">
        <f t="shared" si="60"/>
        <v>2</v>
      </c>
      <c r="AX547" s="205" t="str">
        <f t="shared" si="61"/>
        <v>3</v>
      </c>
      <c r="AY547" s="205" t="str">
        <f>IF($AV547="","",$F$162)</f>
        <v>D</v>
      </c>
      <c r="AZ547" s="205" t="str">
        <f t="shared" si="63"/>
        <v>DO</v>
      </c>
      <c r="BA547" s="205">
        <f>IF(COUNTIFS($B$160,"&lt;&gt;"&amp;""),ROUND($G$162/14,1),"")</f>
        <v>1</v>
      </c>
      <c r="BB547" s="205">
        <f>IF(COUNTIFS($B$160,"&lt;&gt;"&amp;""),ROUND(($H$162+$I$162+$J$162)/14,1),"")</f>
        <v>1</v>
      </c>
      <c r="BC547" s="205">
        <f>IF(COUNTIFS($B$160,"&lt;&gt;"&amp;""),ROUND(($G$162+$H$162+$I$162+$J$162)/14,1),"")</f>
        <v>2</v>
      </c>
      <c r="BD547" s="205">
        <f>IF(COUNTIFS($B$160,"&lt;&gt;"&amp;""),ROUND($G$162,1),"")</f>
        <v>14</v>
      </c>
      <c r="BE547" s="205">
        <f>IF(COUNTIFS($B$160,"&lt;&gt;"&amp;""),ROUND(($H$162+$I$162+$J$162),1),"")</f>
        <v>14</v>
      </c>
      <c r="BF547" s="205">
        <f>IF(COUNTIFS($B$160,"&lt;&gt;"&amp;""),ROUND(($G$162+$H$162+$I$162+$J$162),1),"")</f>
        <v>28</v>
      </c>
      <c r="BG547" s="205"/>
      <c r="BH547" s="205"/>
      <c r="BI547" s="205"/>
      <c r="BJ547" s="205"/>
      <c r="BK547" s="205"/>
      <c r="BL547" s="205"/>
      <c r="BM547" s="205" t="e">
        <f>IF(COUNTIFS($B$160,"&lt;&gt;"&amp;""),IF($L$162&lt;&gt;"",ROUND($L$162/14,1),""),"")</f>
        <v>#VALUE!</v>
      </c>
      <c r="BN547" s="205" t="e">
        <f>IF(COUNTIFS($B$160,"&lt;&gt;"&amp;""),IF($L$162&lt;&gt;"",ROUND($L$162,1),""),"")</f>
        <v>#VALUE!</v>
      </c>
      <c r="BO547" s="205">
        <f>IF($AV547="","",$E$162)</f>
        <v>4</v>
      </c>
      <c r="BP547" s="207">
        <f>IF(COUNTIFS($B$160,"&lt;&gt;"&amp;""),$K$162,"")</f>
        <v>0</v>
      </c>
      <c r="BQ547" s="207" t="e">
        <f t="shared" si="64"/>
        <v>#VALUE!</v>
      </c>
      <c r="BR547" s="205" t="e">
        <f t="shared" si="65"/>
        <v>#VALUE!</v>
      </c>
      <c r="BT547" s="209" t="str">
        <f t="shared" si="62"/>
        <v>2023</v>
      </c>
      <c r="BU547" s="198"/>
      <c r="BV547" s="198"/>
      <c r="BW547" s="198"/>
      <c r="BX547" s="198"/>
      <c r="BY547" s="198"/>
      <c r="BZ547" s="198"/>
      <c r="CA547" s="198"/>
      <c r="CB547" s="335"/>
      <c r="CC547" s="335"/>
      <c r="CD547" s="335"/>
      <c r="CE547" s="335"/>
      <c r="CF547" s="198"/>
      <c r="CG547" s="199"/>
      <c r="CH547" s="199"/>
      <c r="CI547" s="199"/>
      <c r="CJ547" s="198"/>
      <c r="CK547" s="198"/>
      <c r="CL547" s="198"/>
      <c r="CM547" s="198"/>
      <c r="CN547" s="198"/>
      <c r="CO547" s="198"/>
      <c r="CP547" s="198"/>
      <c r="CQ547" s="198"/>
      <c r="CR547" s="198"/>
      <c r="CS547" s="199"/>
      <c r="CT547" s="199"/>
    </row>
    <row r="548" spans="1:98"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3"/>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4"/>
        <v/>
      </c>
      <c r="BR548" s="205" t="str">
        <f t="shared" si="65"/>
        <v/>
      </c>
      <c r="BT548" s="209" t="str">
        <f t="shared" si="62"/>
        <v/>
      </c>
      <c r="BU548" s="198"/>
      <c r="BV548" s="198"/>
      <c r="BW548" s="198"/>
      <c r="BX548" s="198"/>
      <c r="BY548" s="198"/>
      <c r="BZ548" s="198"/>
      <c r="CA548" s="198"/>
      <c r="CB548" s="335"/>
      <c r="CC548" s="335"/>
      <c r="CD548" s="335"/>
      <c r="CE548" s="335"/>
      <c r="CF548" s="198"/>
      <c r="CG548" s="199"/>
      <c r="CH548" s="199"/>
      <c r="CI548" s="199"/>
      <c r="CJ548" s="198"/>
      <c r="CK548" s="198"/>
      <c r="CL548" s="198"/>
      <c r="CM548" s="198"/>
      <c r="CN548" s="198"/>
      <c r="CO548" s="198"/>
      <c r="CP548" s="198"/>
      <c r="CQ548" s="198"/>
      <c r="CR548" s="198"/>
      <c r="CS548" s="199"/>
      <c r="CT548" s="199"/>
    </row>
    <row r="549" spans="1:98"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3"/>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4"/>
        <v/>
      </c>
      <c r="BR549" s="205" t="str">
        <f t="shared" si="65"/>
        <v/>
      </c>
      <c r="BT549" s="209" t="str">
        <f t="shared" si="62"/>
        <v/>
      </c>
      <c r="BU549" s="198"/>
      <c r="BV549" s="198"/>
      <c r="BW549" s="198"/>
      <c r="BX549" s="198"/>
      <c r="BY549" s="198"/>
      <c r="BZ549" s="198"/>
      <c r="CA549" s="198"/>
      <c r="CB549" s="335"/>
      <c r="CC549" s="335"/>
      <c r="CD549" s="335"/>
      <c r="CE549" s="335"/>
      <c r="CF549" s="198"/>
      <c r="CG549" s="199"/>
      <c r="CH549" s="199"/>
      <c r="CI549" s="199"/>
      <c r="CJ549" s="198"/>
      <c r="CK549" s="198"/>
      <c r="CL549" s="198"/>
      <c r="CM549" s="198"/>
      <c r="CN549" s="198"/>
      <c r="CO549" s="198"/>
      <c r="CP549" s="198"/>
      <c r="CQ549" s="198"/>
      <c r="CR549" s="198"/>
      <c r="CS549" s="199"/>
      <c r="CT549" s="199"/>
    </row>
    <row r="550" spans="1:98"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3"/>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4"/>
        <v/>
      </c>
      <c r="BR550" s="205" t="str">
        <f t="shared" si="65"/>
        <v/>
      </c>
      <c r="BT550" s="209" t="str">
        <f t="shared" si="62"/>
        <v/>
      </c>
      <c r="BU550" s="198"/>
      <c r="BV550" s="198"/>
      <c r="BW550" s="198"/>
      <c r="BX550" s="198"/>
      <c r="BY550" s="198"/>
      <c r="BZ550" s="198"/>
      <c r="CA550" s="198"/>
      <c r="CB550" s="335"/>
      <c r="CC550" s="335"/>
      <c r="CD550" s="335"/>
      <c r="CE550" s="335"/>
      <c r="CF550" s="198"/>
      <c r="CG550" s="199"/>
      <c r="CH550" s="199"/>
      <c r="CI550" s="199"/>
      <c r="CJ550" s="198"/>
      <c r="CK550" s="198"/>
      <c r="CL550" s="198"/>
      <c r="CM550" s="198"/>
      <c r="CN550" s="198"/>
      <c r="CO550" s="198"/>
      <c r="CP550" s="198"/>
      <c r="CQ550" s="198"/>
      <c r="CR550" s="198"/>
      <c r="CS550" s="199"/>
      <c r="CT550" s="199"/>
    </row>
    <row r="551" spans="1:98"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3"/>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4"/>
        <v/>
      </c>
      <c r="BR551" s="205" t="str">
        <f t="shared" si="65"/>
        <v/>
      </c>
      <c r="BT551" s="209" t="str">
        <f t="shared" si="62"/>
        <v/>
      </c>
      <c r="BU551" s="198"/>
      <c r="BV551" s="198"/>
      <c r="BW551" s="198"/>
      <c r="BX551" s="198"/>
      <c r="BY551" s="198"/>
      <c r="BZ551" s="198"/>
      <c r="CA551" s="198"/>
      <c r="CB551" s="335"/>
      <c r="CC551" s="335"/>
      <c r="CD551" s="335"/>
      <c r="CE551" s="335"/>
      <c r="CF551" s="198"/>
      <c r="CG551" s="199"/>
      <c r="CH551" s="199"/>
      <c r="CI551" s="199"/>
      <c r="CJ551" s="198"/>
      <c r="CK551" s="198"/>
      <c r="CL551" s="198"/>
      <c r="CM551" s="198"/>
      <c r="CN551" s="198"/>
      <c r="CO551" s="198"/>
      <c r="CP551" s="198"/>
      <c r="CQ551" s="198"/>
      <c r="CR551" s="198"/>
      <c r="CS551" s="199"/>
      <c r="CT551" s="199"/>
    </row>
    <row r="552" spans="1:98"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3"/>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4"/>
        <v/>
      </c>
      <c r="BR552" s="205" t="str">
        <f t="shared" si="65"/>
        <v/>
      </c>
      <c r="BT552" s="209" t="str">
        <f t="shared" si="62"/>
        <v/>
      </c>
      <c r="BU552" s="198"/>
      <c r="BV552" s="198"/>
      <c r="BW552" s="198"/>
      <c r="BX552" s="198"/>
      <c r="BY552" s="198"/>
      <c r="BZ552" s="198"/>
      <c r="CA552" s="198"/>
      <c r="CB552" s="335"/>
      <c r="CC552" s="335"/>
      <c r="CD552" s="335"/>
      <c r="CE552" s="335"/>
      <c r="CF552" s="198"/>
      <c r="CG552" s="199"/>
      <c r="CH552" s="199"/>
      <c r="CI552" s="199"/>
      <c r="CJ552" s="198"/>
      <c r="CK552" s="198"/>
      <c r="CL552" s="198"/>
      <c r="CM552" s="198"/>
      <c r="CN552" s="198"/>
      <c r="CO552" s="198"/>
      <c r="CP552" s="198"/>
      <c r="CQ552" s="198"/>
      <c r="CR552" s="198"/>
      <c r="CS552" s="199"/>
      <c r="CT552" s="199"/>
    </row>
    <row r="553" spans="1:98"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3"/>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4"/>
        <v/>
      </c>
      <c r="BR553" s="205" t="str">
        <f t="shared" si="65"/>
        <v/>
      </c>
      <c r="BT553" s="209" t="str">
        <f t="shared" si="62"/>
        <v/>
      </c>
      <c r="BU553" s="198"/>
      <c r="BV553" s="198"/>
      <c r="BW553" s="198"/>
      <c r="BX553" s="198"/>
      <c r="BY553" s="198"/>
      <c r="BZ553" s="198"/>
      <c r="CA553" s="198"/>
      <c r="CB553" s="335"/>
      <c r="CC553" s="335"/>
      <c r="CD553" s="335"/>
      <c r="CE553" s="335"/>
      <c r="CF553" s="198"/>
      <c r="CG553" s="199"/>
      <c r="CH553" s="199"/>
      <c r="CI553" s="199"/>
      <c r="CJ553" s="198"/>
      <c r="CK553" s="198"/>
      <c r="CL553" s="198"/>
      <c r="CM553" s="198"/>
      <c r="CN553" s="198"/>
      <c r="CO553" s="198"/>
      <c r="CP553" s="198"/>
      <c r="CQ553" s="198"/>
      <c r="CR553" s="198"/>
      <c r="CS553" s="199"/>
      <c r="CT553" s="199"/>
    </row>
    <row r="554" spans="1:98"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90" t="s">
        <v>188</v>
      </c>
      <c r="AU554" s="491"/>
      <c r="AV554" s="491"/>
      <c r="AW554" s="491"/>
      <c r="AX554" s="491"/>
      <c r="AY554" s="491"/>
      <c r="AZ554" s="491"/>
      <c r="BA554" s="491"/>
      <c r="BB554" s="491"/>
      <c r="BC554" s="491"/>
      <c r="BD554" s="491"/>
      <c r="BE554" s="491"/>
      <c r="BF554" s="491"/>
      <c r="BG554" s="491"/>
      <c r="BH554" s="491"/>
      <c r="BI554" s="491"/>
      <c r="BJ554" s="491"/>
      <c r="BK554" s="491"/>
      <c r="BL554" s="491"/>
      <c r="BM554" s="491"/>
      <c r="BN554" s="491"/>
      <c r="BO554" s="491"/>
      <c r="BP554" s="491"/>
      <c r="BQ554" s="491"/>
      <c r="BR554" s="492"/>
      <c r="BS554" s="219"/>
      <c r="BT554" s="209" t="str">
        <f t="shared" si="62"/>
        <v/>
      </c>
      <c r="BU554" s="198"/>
      <c r="BV554" s="198"/>
      <c r="BW554" s="198"/>
      <c r="BX554" s="198"/>
      <c r="BY554" s="198"/>
      <c r="BZ554" s="198"/>
      <c r="CA554" s="198"/>
      <c r="CB554" s="335"/>
      <c r="CC554" s="335"/>
      <c r="CD554" s="335"/>
      <c r="CE554" s="335"/>
      <c r="CF554" s="198"/>
      <c r="CG554" s="199"/>
      <c r="CH554" s="199"/>
      <c r="CI554" s="199"/>
      <c r="CJ554" s="198"/>
      <c r="CK554" s="198"/>
      <c r="CL554" s="198"/>
      <c r="CM554" s="198"/>
      <c r="CN554" s="198"/>
      <c r="CO554" s="198"/>
      <c r="CP554" s="198"/>
      <c r="CQ554" s="198"/>
      <c r="CR554" s="198"/>
      <c r="CS554" s="199"/>
      <c r="CT554" s="199"/>
    </row>
    <row r="555" spans="1:98"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6">IF($AV555="","",ROUND(RIGHT($N$150,1)/2,0))</f>
        <v/>
      </c>
      <c r="AX555" s="205" t="str">
        <f t="shared" ref="AX555:AX564" si="67">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62"/>
        <v/>
      </c>
      <c r="BU555" s="198"/>
      <c r="BV555" s="198"/>
      <c r="BW555" s="198"/>
      <c r="BX555" s="198"/>
      <c r="BY555" s="198"/>
      <c r="BZ555" s="198"/>
      <c r="CA555" s="198"/>
      <c r="CB555" s="335"/>
      <c r="CC555" s="335"/>
      <c r="CD555" s="335"/>
      <c r="CE555" s="335"/>
      <c r="CF555" s="198"/>
      <c r="CG555" s="199"/>
      <c r="CH555" s="199"/>
      <c r="CI555" s="199"/>
      <c r="CJ555" s="198"/>
      <c r="CK555" s="198"/>
      <c r="CL555" s="198"/>
      <c r="CM555" s="198"/>
      <c r="CN555" s="198"/>
      <c r="CO555" s="198"/>
      <c r="CP555" s="198"/>
      <c r="CQ555" s="198"/>
      <c r="CR555" s="198"/>
      <c r="CS555" s="199"/>
      <c r="CT555" s="199"/>
    </row>
    <row r="556" spans="1:98"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6"/>
        <v/>
      </c>
      <c r="AX556" s="205" t="str">
        <f t="shared" si="67"/>
        <v/>
      </c>
      <c r="AY556" s="205" t="str">
        <f t="shared" ref="AY556:AY564" si="68">IF($AV556="","",$Q$184)</f>
        <v/>
      </c>
      <c r="AZ556" s="205" t="str">
        <f t="shared" ref="AZ556:AZ564" si="69">IF($AV556="","","DO")</f>
        <v/>
      </c>
      <c r="BA556" s="205" t="str">
        <f t="shared" ref="BA556:BA564" si="70">IF(COUNTIFS($M$181,"&lt;&gt;"&amp;""),ROUND($R$184/14,1),"")</f>
        <v/>
      </c>
      <c r="BB556" s="205" t="str">
        <f t="shared" ref="BB556:BB564" si="71">IF(COUNTIFS($M$181,"&lt;&gt;"&amp;""),ROUND(($S$184+$T$184+$U$184)/14,1),"")</f>
        <v/>
      </c>
      <c r="BC556" s="205" t="str">
        <f t="shared" ref="BC556:BC564" si="72">IF(COUNTIFS($M$181,"&lt;&gt;"&amp;""),ROUND(($R$184+$S$184+$T$184+$U$184)/14,1),"")</f>
        <v/>
      </c>
      <c r="BD556" s="205" t="str">
        <f t="shared" ref="BD556:BD564" si="73">IF(COUNTIFS($M$181,"&lt;&gt;"&amp;""),ROUND($R$184,1),"")</f>
        <v/>
      </c>
      <c r="BE556" s="205" t="str">
        <f t="shared" ref="BE556:BE564" si="74">IF(COUNTIFS($M$181,"&lt;&gt;"&amp;""),ROUND(($S$184+$T$184+$U$184),1),"")</f>
        <v/>
      </c>
      <c r="BF556" s="205" t="str">
        <f t="shared" ref="BF556:BF564" si="75">IF(COUNTIFS($M$181,"&lt;&gt;"&amp;""),ROUND(($R$184+$S$184+$T$184+$U$184),1),"")</f>
        <v/>
      </c>
      <c r="BG556" s="205"/>
      <c r="BH556" s="205"/>
      <c r="BI556" s="205"/>
      <c r="BJ556" s="205"/>
      <c r="BK556" s="205"/>
      <c r="BL556" s="205"/>
      <c r="BM556" s="205" t="str">
        <f t="shared" ref="BM556:BM564" si="76">IF(COUNTIFS($M$181,"&lt;&gt;"&amp;""),IF($W$184&lt;&gt;"",ROUND($W$184/14,1),""),"")</f>
        <v/>
      </c>
      <c r="BN556" s="205" t="str">
        <f t="shared" ref="BN556:BN564" si="77">IF(COUNTIFS($M$181,"&lt;&gt;"&amp;""),IF($W$184&lt;&gt;"",ROUND($W$184,1),""),"")</f>
        <v/>
      </c>
      <c r="BO556" s="205" t="str">
        <f t="shared" ref="BO556:BO564" si="78">IF($AV556="","",$P$184)</f>
        <v/>
      </c>
      <c r="BP556" s="207" t="str">
        <f t="shared" ref="BP556:BP564" si="79">IF(COUNTIFS($M$181,"&lt;&gt;"&amp;""),$V$184,"")</f>
        <v/>
      </c>
      <c r="BQ556" s="207" t="str">
        <f t="shared" ref="BQ556:BQ564" si="80">IF($AV556="","",IF($BC556&lt;&gt;"",$BC556,0)+IF($BI556&lt;&gt;"",$BI556,0)+IF($BM556&lt;&gt;"",$BM556,0))</f>
        <v/>
      </c>
      <c r="BR556" s="205" t="str">
        <f t="shared" ref="BR556:BR564" si="81">IF($AV556="","",IF($BF556&lt;&gt;"",$BF556,0)+IF($BL556&lt;&gt;"",$BL556,0)+IF($BN556&lt;&gt;"",$BN556,0))</f>
        <v/>
      </c>
      <c r="BT556" s="209" t="str">
        <f t="shared" si="62"/>
        <v/>
      </c>
      <c r="BU556" s="198"/>
      <c r="BV556" s="198"/>
      <c r="BW556" s="198"/>
      <c r="BX556" s="198"/>
      <c r="BY556" s="198"/>
      <c r="BZ556" s="198"/>
      <c r="CA556" s="198"/>
      <c r="CB556" s="335"/>
      <c r="CC556" s="335"/>
      <c r="CD556" s="335"/>
      <c r="CE556" s="335"/>
      <c r="CF556" s="198"/>
      <c r="CG556" s="199"/>
      <c r="CH556" s="199"/>
      <c r="CI556" s="199"/>
      <c r="CJ556" s="198"/>
      <c r="CK556" s="198"/>
      <c r="CL556" s="198"/>
      <c r="CM556" s="198"/>
      <c r="CN556" s="198"/>
      <c r="CO556" s="198"/>
      <c r="CP556" s="198"/>
      <c r="CQ556" s="198"/>
      <c r="CR556" s="198"/>
      <c r="CS556" s="199"/>
      <c r="CT556" s="199"/>
    </row>
    <row r="557" spans="1:98"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6"/>
        <v/>
      </c>
      <c r="AX557" s="205" t="str">
        <f t="shared" si="67"/>
        <v/>
      </c>
      <c r="AY557" s="205" t="str">
        <f t="shared" si="68"/>
        <v/>
      </c>
      <c r="AZ557" s="205" t="str">
        <f t="shared" si="69"/>
        <v/>
      </c>
      <c r="BA557" s="205" t="str">
        <f t="shared" si="70"/>
        <v/>
      </c>
      <c r="BB557" s="205" t="str">
        <f t="shared" si="71"/>
        <v/>
      </c>
      <c r="BC557" s="205" t="str">
        <f t="shared" si="72"/>
        <v/>
      </c>
      <c r="BD557" s="205" t="str">
        <f t="shared" si="73"/>
        <v/>
      </c>
      <c r="BE557" s="205" t="str">
        <f t="shared" si="74"/>
        <v/>
      </c>
      <c r="BF557" s="205" t="str">
        <f t="shared" si="75"/>
        <v/>
      </c>
      <c r="BG557" s="205"/>
      <c r="BH557" s="205"/>
      <c r="BI557" s="205"/>
      <c r="BJ557" s="205"/>
      <c r="BK557" s="205"/>
      <c r="BL557" s="205"/>
      <c r="BM557" s="205" t="str">
        <f t="shared" si="76"/>
        <v/>
      </c>
      <c r="BN557" s="205" t="str">
        <f t="shared" si="77"/>
        <v/>
      </c>
      <c r="BO557" s="205" t="str">
        <f t="shared" si="78"/>
        <v/>
      </c>
      <c r="BP557" s="207" t="str">
        <f t="shared" si="79"/>
        <v/>
      </c>
      <c r="BQ557" s="207" t="str">
        <f t="shared" si="80"/>
        <v/>
      </c>
      <c r="BR557" s="205" t="str">
        <f t="shared" si="81"/>
        <v/>
      </c>
      <c r="BT557" s="209" t="str">
        <f t="shared" si="62"/>
        <v/>
      </c>
      <c r="BU557" s="198"/>
      <c r="BV557" s="198"/>
      <c r="BW557" s="198"/>
      <c r="BX557" s="198"/>
      <c r="BY557" s="198"/>
      <c r="BZ557" s="198"/>
      <c r="CA557" s="198"/>
      <c r="CB557" s="335"/>
      <c r="CC557" s="335"/>
      <c r="CD557" s="335"/>
      <c r="CE557" s="335"/>
      <c r="CF557" s="198"/>
      <c r="CG557" s="199"/>
      <c r="CH557" s="199"/>
      <c r="CI557" s="199"/>
      <c r="CJ557" s="198"/>
      <c r="CK557" s="198"/>
      <c r="CL557" s="198"/>
      <c r="CM557" s="198"/>
      <c r="CN557" s="198"/>
      <c r="CO557" s="198"/>
      <c r="CP557" s="198"/>
      <c r="CQ557" s="198"/>
      <c r="CR557" s="198"/>
      <c r="CS557" s="199"/>
      <c r="CT557" s="199"/>
    </row>
    <row r="558" spans="1:98"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6"/>
        <v/>
      </c>
      <c r="AX558" s="205" t="str">
        <f t="shared" si="67"/>
        <v/>
      </c>
      <c r="AY558" s="205" t="str">
        <f t="shared" si="68"/>
        <v/>
      </c>
      <c r="AZ558" s="205" t="str">
        <f t="shared" si="69"/>
        <v/>
      </c>
      <c r="BA558" s="205" t="str">
        <f t="shared" si="70"/>
        <v/>
      </c>
      <c r="BB558" s="205" t="str">
        <f t="shared" si="71"/>
        <v/>
      </c>
      <c r="BC558" s="205" t="str">
        <f t="shared" si="72"/>
        <v/>
      </c>
      <c r="BD558" s="205" t="str">
        <f t="shared" si="73"/>
        <v/>
      </c>
      <c r="BE558" s="205" t="str">
        <f t="shared" si="74"/>
        <v/>
      </c>
      <c r="BF558" s="205" t="str">
        <f t="shared" si="75"/>
        <v/>
      </c>
      <c r="BG558" s="205"/>
      <c r="BH558" s="205"/>
      <c r="BI558" s="205"/>
      <c r="BJ558" s="205"/>
      <c r="BK558" s="205"/>
      <c r="BL558" s="205"/>
      <c r="BM558" s="205" t="str">
        <f t="shared" si="76"/>
        <v/>
      </c>
      <c r="BN558" s="205" t="str">
        <f t="shared" si="77"/>
        <v/>
      </c>
      <c r="BO558" s="205" t="str">
        <f t="shared" si="78"/>
        <v/>
      </c>
      <c r="BP558" s="207" t="str">
        <f t="shared" si="79"/>
        <v/>
      </c>
      <c r="BQ558" s="207" t="str">
        <f t="shared" si="80"/>
        <v/>
      </c>
      <c r="BR558" s="205" t="str">
        <f t="shared" si="81"/>
        <v/>
      </c>
      <c r="BT558" s="209" t="str">
        <f t="shared" si="62"/>
        <v/>
      </c>
      <c r="BU558" s="198"/>
      <c r="BV558" s="198"/>
      <c r="BW558" s="198"/>
      <c r="BX558" s="198"/>
      <c r="BY558" s="198"/>
      <c r="BZ558" s="198"/>
      <c r="CA558" s="198"/>
      <c r="CB558" s="335"/>
      <c r="CC558" s="335"/>
      <c r="CD558" s="335"/>
      <c r="CE558" s="335"/>
      <c r="CF558" s="198"/>
      <c r="CG558" s="199"/>
      <c r="CH558" s="199"/>
      <c r="CI558" s="199"/>
      <c r="CJ558" s="198"/>
      <c r="CK558" s="198"/>
      <c r="CL558" s="198"/>
      <c r="CM558" s="198"/>
      <c r="CN558" s="198"/>
      <c r="CO558" s="198"/>
      <c r="CP558" s="198"/>
      <c r="CQ558" s="198"/>
      <c r="CR558" s="198"/>
      <c r="CS558" s="199"/>
      <c r="CT558" s="199"/>
    </row>
    <row r="559" spans="1:98"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6"/>
        <v/>
      </c>
      <c r="AX559" s="205" t="str">
        <f t="shared" si="67"/>
        <v/>
      </c>
      <c r="AY559" s="205" t="str">
        <f t="shared" si="68"/>
        <v/>
      </c>
      <c r="AZ559" s="205" t="str">
        <f t="shared" si="69"/>
        <v/>
      </c>
      <c r="BA559" s="205" t="str">
        <f t="shared" si="70"/>
        <v/>
      </c>
      <c r="BB559" s="205" t="str">
        <f t="shared" si="71"/>
        <v/>
      </c>
      <c r="BC559" s="205" t="str">
        <f t="shared" si="72"/>
        <v/>
      </c>
      <c r="BD559" s="205" t="str">
        <f t="shared" si="73"/>
        <v/>
      </c>
      <c r="BE559" s="205" t="str">
        <f t="shared" si="74"/>
        <v/>
      </c>
      <c r="BF559" s="205" t="str">
        <f t="shared" si="75"/>
        <v/>
      </c>
      <c r="BG559" s="205"/>
      <c r="BH559" s="205"/>
      <c r="BI559" s="205"/>
      <c r="BJ559" s="205"/>
      <c r="BK559" s="205"/>
      <c r="BL559" s="205"/>
      <c r="BM559" s="205" t="str">
        <f t="shared" si="76"/>
        <v/>
      </c>
      <c r="BN559" s="205" t="str">
        <f t="shared" si="77"/>
        <v/>
      </c>
      <c r="BO559" s="205" t="str">
        <f t="shared" si="78"/>
        <v/>
      </c>
      <c r="BP559" s="207" t="str">
        <f t="shared" si="79"/>
        <v/>
      </c>
      <c r="BQ559" s="207" t="str">
        <f t="shared" si="80"/>
        <v/>
      </c>
      <c r="BR559" s="205" t="str">
        <f t="shared" si="81"/>
        <v/>
      </c>
      <c r="BT559" s="209" t="str">
        <f t="shared" si="62"/>
        <v/>
      </c>
      <c r="BU559" s="198"/>
      <c r="BV559" s="198"/>
      <c r="BW559" s="198"/>
      <c r="BX559" s="198"/>
      <c r="BY559" s="198"/>
      <c r="BZ559" s="198"/>
      <c r="CA559" s="198"/>
      <c r="CB559" s="335"/>
      <c r="CC559" s="335"/>
      <c r="CD559" s="335"/>
      <c r="CE559" s="335"/>
      <c r="CF559" s="198"/>
      <c r="CG559" s="199"/>
      <c r="CH559" s="199"/>
      <c r="CI559" s="199"/>
      <c r="CJ559" s="198"/>
      <c r="CK559" s="198"/>
      <c r="CL559" s="198"/>
      <c r="CM559" s="198"/>
      <c r="CN559" s="198"/>
      <c r="CO559" s="198"/>
      <c r="CP559" s="198"/>
      <c r="CQ559" s="198"/>
      <c r="CR559" s="198"/>
      <c r="CS559" s="199"/>
      <c r="CT559" s="199"/>
    </row>
    <row r="560" spans="1:98"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6"/>
        <v/>
      </c>
      <c r="AX560" s="205" t="str">
        <f t="shared" si="67"/>
        <v/>
      </c>
      <c r="AY560" s="205" t="str">
        <f t="shared" si="68"/>
        <v/>
      </c>
      <c r="AZ560" s="205" t="str">
        <f t="shared" si="69"/>
        <v/>
      </c>
      <c r="BA560" s="205" t="str">
        <f t="shared" si="70"/>
        <v/>
      </c>
      <c r="BB560" s="205" t="str">
        <f t="shared" si="71"/>
        <v/>
      </c>
      <c r="BC560" s="205" t="str">
        <f t="shared" si="72"/>
        <v/>
      </c>
      <c r="BD560" s="205" t="str">
        <f t="shared" si="73"/>
        <v/>
      </c>
      <c r="BE560" s="205" t="str">
        <f t="shared" si="74"/>
        <v/>
      </c>
      <c r="BF560" s="205" t="str">
        <f t="shared" si="75"/>
        <v/>
      </c>
      <c r="BG560" s="205"/>
      <c r="BH560" s="205"/>
      <c r="BI560" s="205"/>
      <c r="BJ560" s="205"/>
      <c r="BK560" s="205"/>
      <c r="BL560" s="205"/>
      <c r="BM560" s="205" t="str">
        <f t="shared" si="76"/>
        <v/>
      </c>
      <c r="BN560" s="205" t="str">
        <f t="shared" si="77"/>
        <v/>
      </c>
      <c r="BO560" s="205" t="str">
        <f t="shared" si="78"/>
        <v/>
      </c>
      <c r="BP560" s="207" t="str">
        <f t="shared" si="79"/>
        <v/>
      </c>
      <c r="BQ560" s="207" t="str">
        <f t="shared" si="80"/>
        <v/>
      </c>
      <c r="BR560" s="205" t="str">
        <f t="shared" si="81"/>
        <v/>
      </c>
      <c r="BT560" s="209" t="str">
        <f t="shared" si="62"/>
        <v/>
      </c>
      <c r="BU560" s="198"/>
      <c r="BV560" s="198"/>
      <c r="BW560" s="198"/>
      <c r="BX560" s="198"/>
      <c r="BY560" s="198"/>
      <c r="BZ560" s="198"/>
      <c r="CA560" s="198"/>
      <c r="CB560" s="335"/>
      <c r="CC560" s="335"/>
      <c r="CD560" s="335"/>
      <c r="CE560" s="335"/>
      <c r="CF560" s="198"/>
      <c r="CG560" s="199"/>
      <c r="CH560" s="199"/>
      <c r="CI560" s="199"/>
      <c r="CJ560" s="198"/>
      <c r="CK560" s="198"/>
      <c r="CL560" s="198"/>
      <c r="CM560" s="198"/>
      <c r="CN560" s="198"/>
      <c r="CO560" s="198"/>
      <c r="CP560" s="198"/>
      <c r="CQ560" s="198"/>
      <c r="CR560" s="198"/>
      <c r="CS560" s="199"/>
      <c r="CT560" s="199"/>
    </row>
    <row r="561" spans="2:98"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6"/>
        <v/>
      </c>
      <c r="AX561" s="205" t="str">
        <f t="shared" si="67"/>
        <v/>
      </c>
      <c r="AY561" s="205" t="str">
        <f t="shared" si="68"/>
        <v/>
      </c>
      <c r="AZ561" s="205" t="str">
        <f t="shared" si="69"/>
        <v/>
      </c>
      <c r="BA561" s="205" t="str">
        <f t="shared" si="70"/>
        <v/>
      </c>
      <c r="BB561" s="205" t="str">
        <f t="shared" si="71"/>
        <v/>
      </c>
      <c r="BC561" s="205" t="str">
        <f t="shared" si="72"/>
        <v/>
      </c>
      <c r="BD561" s="205" t="str">
        <f t="shared" si="73"/>
        <v/>
      </c>
      <c r="BE561" s="205" t="str">
        <f t="shared" si="74"/>
        <v/>
      </c>
      <c r="BF561" s="205" t="str">
        <f t="shared" si="75"/>
        <v/>
      </c>
      <c r="BG561" s="205"/>
      <c r="BH561" s="205"/>
      <c r="BI561" s="205"/>
      <c r="BJ561" s="205"/>
      <c r="BK561" s="205"/>
      <c r="BL561" s="205"/>
      <c r="BM561" s="205" t="str">
        <f t="shared" si="76"/>
        <v/>
      </c>
      <c r="BN561" s="205" t="str">
        <f t="shared" si="77"/>
        <v/>
      </c>
      <c r="BO561" s="205" t="str">
        <f t="shared" si="78"/>
        <v/>
      </c>
      <c r="BP561" s="207" t="str">
        <f t="shared" si="79"/>
        <v/>
      </c>
      <c r="BQ561" s="207" t="str">
        <f t="shared" si="80"/>
        <v/>
      </c>
      <c r="BR561" s="205" t="str">
        <f t="shared" si="81"/>
        <v/>
      </c>
      <c r="BT561" s="209" t="str">
        <f t="shared" si="62"/>
        <v/>
      </c>
      <c r="BU561" s="198"/>
      <c r="BV561" s="198"/>
      <c r="BW561" s="198"/>
      <c r="BX561" s="198"/>
      <c r="BY561" s="198"/>
      <c r="BZ561" s="198"/>
      <c r="CA561" s="198"/>
      <c r="CB561" s="335"/>
      <c r="CC561" s="335"/>
      <c r="CD561" s="335"/>
      <c r="CE561" s="335"/>
      <c r="CF561" s="198"/>
      <c r="CG561" s="199"/>
      <c r="CH561" s="199"/>
      <c r="CI561" s="199"/>
      <c r="CJ561" s="198"/>
      <c r="CK561" s="198"/>
      <c r="CL561" s="198"/>
      <c r="CM561" s="198"/>
      <c r="CN561" s="198"/>
      <c r="CO561" s="198"/>
      <c r="CP561" s="198"/>
      <c r="CQ561" s="198"/>
      <c r="CR561" s="198"/>
      <c r="CS561" s="199"/>
      <c r="CT561" s="199"/>
    </row>
    <row r="562" spans="2:98"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6"/>
        <v/>
      </c>
      <c r="AX562" s="205" t="str">
        <f t="shared" si="67"/>
        <v/>
      </c>
      <c r="AY562" s="205" t="str">
        <f t="shared" si="68"/>
        <v/>
      </c>
      <c r="AZ562" s="205" t="str">
        <f t="shared" si="69"/>
        <v/>
      </c>
      <c r="BA562" s="205" t="str">
        <f t="shared" si="70"/>
        <v/>
      </c>
      <c r="BB562" s="205" t="str">
        <f t="shared" si="71"/>
        <v/>
      </c>
      <c r="BC562" s="205" t="str">
        <f t="shared" si="72"/>
        <v/>
      </c>
      <c r="BD562" s="205" t="str">
        <f t="shared" si="73"/>
        <v/>
      </c>
      <c r="BE562" s="205" t="str">
        <f t="shared" si="74"/>
        <v/>
      </c>
      <c r="BF562" s="205" t="str">
        <f t="shared" si="75"/>
        <v/>
      </c>
      <c r="BG562" s="205"/>
      <c r="BH562" s="205"/>
      <c r="BI562" s="205"/>
      <c r="BJ562" s="205"/>
      <c r="BK562" s="205"/>
      <c r="BL562" s="205"/>
      <c r="BM562" s="205" t="str">
        <f t="shared" si="76"/>
        <v/>
      </c>
      <c r="BN562" s="205" t="str">
        <f t="shared" si="77"/>
        <v/>
      </c>
      <c r="BO562" s="205" t="str">
        <f t="shared" si="78"/>
        <v/>
      </c>
      <c r="BP562" s="207" t="str">
        <f t="shared" si="79"/>
        <v/>
      </c>
      <c r="BQ562" s="207" t="str">
        <f t="shared" si="80"/>
        <v/>
      </c>
      <c r="BR562" s="205" t="str">
        <f t="shared" si="81"/>
        <v/>
      </c>
      <c r="BT562" s="209" t="str">
        <f t="shared" si="62"/>
        <v/>
      </c>
      <c r="BU562" s="198"/>
      <c r="BV562" s="198"/>
      <c r="BW562" s="198"/>
      <c r="BX562" s="198"/>
      <c r="BY562" s="198"/>
      <c r="BZ562" s="198"/>
      <c r="CA562" s="198"/>
      <c r="CB562" s="335"/>
      <c r="CC562" s="335"/>
      <c r="CD562" s="335"/>
      <c r="CE562" s="335"/>
      <c r="CF562" s="198"/>
      <c r="CG562" s="199"/>
      <c r="CH562" s="199"/>
      <c r="CI562" s="199"/>
      <c r="CJ562" s="198"/>
      <c r="CK562" s="198"/>
      <c r="CL562" s="198"/>
      <c r="CM562" s="198"/>
      <c r="CN562" s="198"/>
      <c r="CO562" s="198"/>
      <c r="CP562" s="198"/>
      <c r="CQ562" s="198"/>
      <c r="CR562" s="198"/>
      <c r="CS562" s="199"/>
      <c r="CT562" s="199"/>
    </row>
    <row r="563" spans="2:98"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6"/>
        <v/>
      </c>
      <c r="AX563" s="205" t="str">
        <f t="shared" si="67"/>
        <v/>
      </c>
      <c r="AY563" s="205" t="str">
        <f t="shared" si="68"/>
        <v/>
      </c>
      <c r="AZ563" s="205" t="str">
        <f t="shared" si="69"/>
        <v/>
      </c>
      <c r="BA563" s="205" t="str">
        <f t="shared" si="70"/>
        <v/>
      </c>
      <c r="BB563" s="205" t="str">
        <f t="shared" si="71"/>
        <v/>
      </c>
      <c r="BC563" s="205" t="str">
        <f t="shared" si="72"/>
        <v/>
      </c>
      <c r="BD563" s="205" t="str">
        <f t="shared" si="73"/>
        <v/>
      </c>
      <c r="BE563" s="205" t="str">
        <f t="shared" si="74"/>
        <v/>
      </c>
      <c r="BF563" s="205" t="str">
        <f t="shared" si="75"/>
        <v/>
      </c>
      <c r="BG563" s="205"/>
      <c r="BH563" s="205"/>
      <c r="BI563" s="205"/>
      <c r="BJ563" s="205"/>
      <c r="BK563" s="205"/>
      <c r="BL563" s="205"/>
      <c r="BM563" s="205" t="str">
        <f t="shared" si="76"/>
        <v/>
      </c>
      <c r="BN563" s="205" t="str">
        <f t="shared" si="77"/>
        <v/>
      </c>
      <c r="BO563" s="205" t="str">
        <f t="shared" si="78"/>
        <v/>
      </c>
      <c r="BP563" s="207" t="str">
        <f t="shared" si="79"/>
        <v/>
      </c>
      <c r="BQ563" s="207" t="str">
        <f t="shared" si="80"/>
        <v/>
      </c>
      <c r="BR563" s="205" t="str">
        <f t="shared" si="81"/>
        <v/>
      </c>
      <c r="BT563" s="209" t="str">
        <f t="shared" si="62"/>
        <v/>
      </c>
      <c r="BU563" s="198"/>
      <c r="BV563" s="198"/>
      <c r="BW563" s="198"/>
      <c r="BX563" s="198"/>
      <c r="BY563" s="198"/>
      <c r="BZ563" s="198"/>
      <c r="CA563" s="198"/>
      <c r="CB563" s="335"/>
      <c r="CC563" s="335"/>
      <c r="CD563" s="335"/>
      <c r="CE563" s="335"/>
      <c r="CF563" s="198"/>
      <c r="CG563" s="199"/>
      <c r="CH563" s="199"/>
      <c r="CI563" s="199"/>
      <c r="CJ563" s="198"/>
      <c r="CK563" s="198"/>
      <c r="CL563" s="198"/>
      <c r="CM563" s="198"/>
      <c r="CN563" s="198"/>
      <c r="CO563" s="198"/>
      <c r="CP563" s="198"/>
      <c r="CQ563" s="198"/>
      <c r="CR563" s="198"/>
      <c r="CS563" s="199"/>
      <c r="CT563" s="199"/>
    </row>
    <row r="564" spans="2:98"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6"/>
        <v/>
      </c>
      <c r="AX564" s="205" t="str">
        <f t="shared" si="67"/>
        <v/>
      </c>
      <c r="AY564" s="205" t="str">
        <f t="shared" si="68"/>
        <v/>
      </c>
      <c r="AZ564" s="205" t="str">
        <f t="shared" si="69"/>
        <v/>
      </c>
      <c r="BA564" s="205" t="str">
        <f t="shared" si="70"/>
        <v/>
      </c>
      <c r="BB564" s="205" t="str">
        <f t="shared" si="71"/>
        <v/>
      </c>
      <c r="BC564" s="205" t="str">
        <f t="shared" si="72"/>
        <v/>
      </c>
      <c r="BD564" s="205" t="str">
        <f t="shared" si="73"/>
        <v/>
      </c>
      <c r="BE564" s="205" t="str">
        <f t="shared" si="74"/>
        <v/>
      </c>
      <c r="BF564" s="205" t="str">
        <f t="shared" si="75"/>
        <v/>
      </c>
      <c r="BG564" s="205"/>
      <c r="BH564" s="205"/>
      <c r="BI564" s="205"/>
      <c r="BJ564" s="205"/>
      <c r="BK564" s="205"/>
      <c r="BL564" s="205"/>
      <c r="BM564" s="205" t="str">
        <f t="shared" si="76"/>
        <v/>
      </c>
      <c r="BN564" s="205" t="str">
        <f t="shared" si="77"/>
        <v/>
      </c>
      <c r="BO564" s="205" t="str">
        <f t="shared" si="78"/>
        <v/>
      </c>
      <c r="BP564" s="207" t="str">
        <f t="shared" si="79"/>
        <v/>
      </c>
      <c r="BQ564" s="207" t="str">
        <f t="shared" si="80"/>
        <v/>
      </c>
      <c r="BR564" s="205" t="str">
        <f t="shared" si="81"/>
        <v/>
      </c>
      <c r="BT564" s="209" t="str">
        <f t="shared" si="62"/>
        <v/>
      </c>
      <c r="BU564" s="198"/>
      <c r="BV564" s="198"/>
      <c r="BW564" s="198"/>
      <c r="BX564" s="198"/>
      <c r="BY564" s="198"/>
      <c r="BZ564" s="198"/>
      <c r="CA564" s="198"/>
      <c r="CB564" s="335"/>
      <c r="CC564" s="335"/>
      <c r="CD564" s="335"/>
      <c r="CE564" s="335"/>
      <c r="CF564" s="198"/>
      <c r="CG564" s="199"/>
      <c r="CH564" s="199"/>
      <c r="CI564" s="199"/>
      <c r="CJ564" s="198"/>
      <c r="CK564" s="198"/>
      <c r="CL564" s="198"/>
      <c r="CM564" s="198"/>
      <c r="CN564" s="198"/>
      <c r="CO564" s="198"/>
      <c r="CP564" s="198"/>
      <c r="CQ564" s="198"/>
      <c r="CR564" s="198"/>
      <c r="CS564" s="199"/>
      <c r="CT564" s="199"/>
    </row>
    <row r="565" spans="2:98" hidden="1" x14ac:dyDescent="0.2"/>
    <row r="566" spans="2:98" hidden="1" x14ac:dyDescent="0.2"/>
    <row r="567" spans="2:98" hidden="1" x14ac:dyDescent="0.2"/>
    <row r="568" spans="2:98" hidden="1" x14ac:dyDescent="0.2"/>
    <row r="569" spans="2:98" hidden="1" x14ac:dyDescent="0.2"/>
    <row r="570" spans="2:98" hidden="1" x14ac:dyDescent="0.2"/>
    <row r="571" spans="2:98" hidden="1" x14ac:dyDescent="0.2"/>
    <row r="572" spans="2:98" hidden="1" x14ac:dyDescent="0.2"/>
    <row r="573" spans="2:98" hidden="1" x14ac:dyDescent="0.2"/>
    <row r="574" spans="2:98" hidden="1" x14ac:dyDescent="0.2"/>
    <row r="575" spans="2:98" hidden="1" x14ac:dyDescent="0.2"/>
    <row r="576" spans="2:98"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sheetData>
  <sheetProtection algorithmName="SHA-512" hashValue="ZZwZpeazRv1yRMge714+xx+uD1DUHKcruWXdmnUxtxeoC5eYfBMMJYKiN9zVVtqrk1qP1uqsspt0fl7Jt2Zi7Q==" saltValue="9p8MiqEOZEul+V7SWOZxLg==" spinCount="100000" sheet="1" objects="1" scenarios="1" formatCells="0" formatRows="0" selectLockedCells="1"/>
  <mergeCells count="382">
    <mergeCell ref="CM437:CP437"/>
    <mergeCell ref="CG448:CK448"/>
    <mergeCell ref="CQ437:CT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CB437:CE437"/>
    <mergeCell ref="A415:C415"/>
    <mergeCell ref="N150:Y150"/>
    <mergeCell ref="N151:Y152"/>
    <mergeCell ref="AT520:BR520"/>
    <mergeCell ref="AT532:BR532"/>
    <mergeCell ref="AT543:BR543"/>
    <mergeCell ref="AT554:BR554"/>
    <mergeCell ref="AT519:BR519"/>
    <mergeCell ref="AT498:BR498"/>
    <mergeCell ref="AT508:BR508"/>
    <mergeCell ref="AT488:BR488"/>
    <mergeCell ref="BY479:BY487"/>
    <mergeCell ref="BY489:BY497"/>
    <mergeCell ref="BY499:BY507"/>
    <mergeCell ref="BY509:BY517"/>
    <mergeCell ref="AT477:BR477"/>
    <mergeCell ref="O195:Y196"/>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BR416:CA416"/>
    <mergeCell ref="AU417:AV417"/>
    <mergeCell ref="N165:P165"/>
    <mergeCell ref="O198:Y199"/>
    <mergeCell ref="O200:X200"/>
    <mergeCell ref="O197:Y197"/>
    <mergeCell ref="AU425:AV425"/>
    <mergeCell ref="BX437:CA437"/>
    <mergeCell ref="BR448:BV448"/>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24:P124"/>
    <mergeCell ref="A125:A127"/>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A95:A97"/>
    <mergeCell ref="B122:M123"/>
    <mergeCell ref="B113:M114"/>
    <mergeCell ref="A98:A100"/>
    <mergeCell ref="N91:P91"/>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N74:Y75"/>
    <mergeCell ref="B76:D76"/>
    <mergeCell ref="N76:P76"/>
    <mergeCell ref="B77:M78"/>
    <mergeCell ref="N77:Y78"/>
    <mergeCell ref="D193:L193"/>
    <mergeCell ref="B198:E198"/>
    <mergeCell ref="B200:J200"/>
    <mergeCell ref="D195:F195"/>
    <mergeCell ref="N186:Y186"/>
    <mergeCell ref="A185:L186"/>
    <mergeCell ref="A187:C187"/>
    <mergeCell ref="A166:A168"/>
    <mergeCell ref="B166:M167"/>
    <mergeCell ref="N166:Y167"/>
    <mergeCell ref="B168:D168"/>
    <mergeCell ref="N168:P168"/>
    <mergeCell ref="A169:A171"/>
    <mergeCell ref="B169:M170"/>
    <mergeCell ref="N169:Y170"/>
    <mergeCell ref="B171:D171"/>
    <mergeCell ref="N171:P171"/>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B79:D79"/>
    <mergeCell ref="N79:P79"/>
    <mergeCell ref="X97:Y97"/>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A92:A94"/>
    <mergeCell ref="B92:M93"/>
    <mergeCell ref="N92:Y93"/>
    <mergeCell ref="B94:D94"/>
    <mergeCell ref="N94:P94"/>
    <mergeCell ref="N50:Y51"/>
    <mergeCell ref="B52:D52"/>
    <mergeCell ref="N52:P52"/>
    <mergeCell ref="E53:F53"/>
    <mergeCell ref="E54:F54"/>
    <mergeCell ref="E55:F55"/>
    <mergeCell ref="E56:F56"/>
    <mergeCell ref="E57:F57"/>
    <mergeCell ref="Q53:R53"/>
    <mergeCell ref="Q54:R54"/>
    <mergeCell ref="Q55:R55"/>
    <mergeCell ref="Q56:R56"/>
    <mergeCell ref="Q57:R57"/>
    <mergeCell ref="E95:F95"/>
    <mergeCell ref="E96:F96"/>
    <mergeCell ref="E97:F97"/>
    <mergeCell ref="E98:F98"/>
    <mergeCell ref="E99:F99"/>
    <mergeCell ref="Q95:R95"/>
    <mergeCell ref="Q96:R96"/>
    <mergeCell ref="Q97:R97"/>
    <mergeCell ref="Q98:R98"/>
    <mergeCell ref="Q99:R99"/>
    <mergeCell ref="A101:Y101"/>
    <mergeCell ref="A102:Y10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A216:A218"/>
    <mergeCell ref="B216:M217"/>
    <mergeCell ref="N216:Y217"/>
    <mergeCell ref="B218:D218"/>
    <mergeCell ref="N218:P218"/>
    <mergeCell ref="A219:A221"/>
    <mergeCell ref="B219:M220"/>
    <mergeCell ref="N219:Y22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7"/>
  <sheetViews>
    <sheetView tabSelected="1" view="pageBreakPreview" topLeftCell="A7" zoomScale="60" zoomScaleNormal="60" zoomScalePageLayoutView="60" workbookViewId="0">
      <selection activeCell="A64" sqref="A64:M64"/>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Științe umaniste și arte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Arhitectură și Urbanism</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t="str">
        <f>Coperta!J33</f>
        <v>Arhitectură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Tendinţe, materiale şi tehnologii noi în arhitectura de interior</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09" t="s">
        <v>104</v>
      </c>
      <c r="B9" s="510"/>
      <c r="C9" s="510"/>
      <c r="D9" s="510"/>
      <c r="E9" s="510"/>
      <c r="F9" s="510"/>
      <c r="G9" s="510"/>
      <c r="H9" s="510"/>
      <c r="I9" s="510"/>
      <c r="J9" s="510"/>
      <c r="K9" s="510"/>
      <c r="L9" s="510"/>
      <c r="M9" s="510"/>
      <c r="N9" s="510"/>
      <c r="O9" s="510"/>
      <c r="P9" s="510"/>
      <c r="Q9" s="510"/>
      <c r="R9" s="510"/>
      <c r="S9" s="510"/>
      <c r="T9" s="510"/>
      <c r="U9" s="510"/>
      <c r="V9" s="510"/>
    </row>
    <row r="10" spans="1:29" s="249" customFormat="1" ht="23.25" x14ac:dyDescent="0.35">
      <c r="A10" s="249" t="s">
        <v>105</v>
      </c>
      <c r="G10" s="250">
        <f>E19+E20-G11</f>
        <v>120</v>
      </c>
      <c r="J10" s="249" t="s">
        <v>241</v>
      </c>
    </row>
    <row r="11" spans="1:29" ht="23.25" x14ac:dyDescent="0.35">
      <c r="A11" s="249" t="s">
        <v>237</v>
      </c>
      <c r="G11" s="252">
        <f>MASTER!CQ448+MASTER!CR448+MASTER!CS448+MASTER!CT448</f>
        <v>10</v>
      </c>
      <c r="J11" s="249" t="s">
        <v>248</v>
      </c>
    </row>
    <row r="12" spans="1:29" ht="23.25" x14ac:dyDescent="0.35">
      <c r="A12" s="249" t="s">
        <v>238</v>
      </c>
      <c r="G12" s="252">
        <f>MASTER!BL422</f>
        <v>4</v>
      </c>
      <c r="J12" s="249" t="s">
        <v>247</v>
      </c>
    </row>
    <row r="13" spans="1:29" ht="23.25" x14ac:dyDescent="0.35">
      <c r="A13" s="249" t="s">
        <v>239</v>
      </c>
      <c r="G13" s="252">
        <f>MIN(MASTER!BO479:BO517)</f>
        <v>2</v>
      </c>
      <c r="J13" s="249">
        <v>2</v>
      </c>
    </row>
    <row r="14" spans="1:29" s="249" customFormat="1" ht="23.25" x14ac:dyDescent="0.35">
      <c r="A14" s="249" t="s">
        <v>240</v>
      </c>
      <c r="G14" s="252">
        <f>MAX(MASTER!BO479:BO517)</f>
        <v>14</v>
      </c>
    </row>
    <row r="15" spans="1:29" s="249" customFormat="1" ht="23.25" x14ac:dyDescent="0.35"/>
    <row r="16" spans="1:29" s="249" customFormat="1" ht="24" thickBot="1" x14ac:dyDescent="0.4">
      <c r="A16" s="249" t="s">
        <v>106</v>
      </c>
    </row>
    <row r="17" spans="1:22" s="249" customFormat="1" ht="23.25" x14ac:dyDescent="0.35">
      <c r="B17" s="511" t="s">
        <v>107</v>
      </c>
      <c r="C17" s="513"/>
      <c r="D17" s="514"/>
      <c r="E17" s="515"/>
    </row>
    <row r="18" spans="1:22" s="249" customFormat="1" ht="24" thickBot="1" x14ac:dyDescent="0.4">
      <c r="B18" s="512"/>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09" t="s">
        <v>113</v>
      </c>
      <c r="B23" s="510"/>
      <c r="C23" s="510"/>
      <c r="D23" s="510"/>
      <c r="E23" s="510"/>
      <c r="F23" s="510"/>
      <c r="G23" s="510"/>
      <c r="H23" s="510"/>
      <c r="I23" s="510"/>
      <c r="J23" s="510"/>
      <c r="K23" s="510"/>
      <c r="L23" s="510"/>
      <c r="M23" s="510"/>
      <c r="N23" s="510"/>
      <c r="O23" s="510"/>
      <c r="P23" s="510"/>
      <c r="Q23" s="510"/>
      <c r="R23" s="510"/>
      <c r="S23" s="510"/>
      <c r="T23" s="510"/>
      <c r="U23" s="510"/>
      <c r="V23" s="510"/>
    </row>
    <row r="24" spans="1:22" s="249" customFormat="1" ht="24" thickBot="1" x14ac:dyDescent="0.4">
      <c r="I24" s="266"/>
    </row>
    <row r="25" spans="1:22" s="249" customFormat="1" ht="23.25" x14ac:dyDescent="0.35">
      <c r="A25" s="516" t="s">
        <v>107</v>
      </c>
      <c r="B25" s="518" t="s">
        <v>114</v>
      </c>
      <c r="C25" s="519"/>
      <c r="D25" s="520" t="s">
        <v>115</v>
      </c>
      <c r="E25" s="521"/>
      <c r="F25" s="521"/>
      <c r="G25" s="521"/>
      <c r="H25" s="522"/>
      <c r="I25" s="267"/>
    </row>
    <row r="26" spans="1:22" s="249" customFormat="1" ht="45" customHeight="1" thickBot="1" x14ac:dyDescent="0.4">
      <c r="A26" s="517"/>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9">
        <v>14</v>
      </c>
      <c r="C27" s="320">
        <v>14</v>
      </c>
      <c r="D27" s="319">
        <v>3</v>
      </c>
      <c r="E27" s="321">
        <v>2</v>
      </c>
      <c r="F27" s="321">
        <v>3</v>
      </c>
      <c r="G27" s="321">
        <v>2</v>
      </c>
      <c r="H27" s="320">
        <v>2</v>
      </c>
      <c r="I27" s="322">
        <v>2</v>
      </c>
    </row>
    <row r="28" spans="1:22" s="249" customFormat="1" ht="23.25" x14ac:dyDescent="0.35">
      <c r="A28" s="273" t="s">
        <v>112</v>
      </c>
      <c r="B28" s="323">
        <v>14</v>
      </c>
      <c r="C28" s="324">
        <v>14</v>
      </c>
      <c r="D28" s="323">
        <v>3</v>
      </c>
      <c r="E28" s="325">
        <v>2</v>
      </c>
      <c r="F28" s="325">
        <v>3</v>
      </c>
      <c r="G28" s="325">
        <v>2</v>
      </c>
      <c r="H28" s="324">
        <v>2</v>
      </c>
      <c r="I28" s="326">
        <v>2</v>
      </c>
    </row>
    <row r="29" spans="1:22" s="249" customFormat="1" ht="10.5" customHeight="1" x14ac:dyDescent="0.35"/>
    <row r="30" spans="1:22" s="249" customFormat="1" ht="82.5" customHeight="1" x14ac:dyDescent="0.35">
      <c r="A30" s="525" t="s">
        <v>205</v>
      </c>
      <c r="B30" s="526"/>
      <c r="C30" s="526"/>
      <c r="D30" s="526"/>
      <c r="E30" s="526"/>
      <c r="F30" s="526"/>
      <c r="G30" s="526"/>
      <c r="H30" s="526"/>
      <c r="I30" s="526"/>
      <c r="J30" s="526"/>
      <c r="K30" s="526"/>
      <c r="L30" s="526"/>
      <c r="M30" s="526"/>
      <c r="N30" s="526"/>
      <c r="O30" s="526"/>
      <c r="P30" s="526"/>
      <c r="Q30" s="526"/>
      <c r="R30" s="526"/>
      <c r="S30" s="526"/>
      <c r="T30" s="526"/>
      <c r="U30" s="526"/>
      <c r="V30" s="526"/>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09" t="s">
        <v>122</v>
      </c>
      <c r="B32" s="523"/>
      <c r="C32" s="523"/>
      <c r="D32" s="523"/>
      <c r="E32" s="523"/>
      <c r="F32" s="523"/>
      <c r="G32" s="523"/>
      <c r="H32" s="523"/>
      <c r="I32" s="523"/>
      <c r="J32" s="523"/>
      <c r="K32" s="523"/>
      <c r="L32" s="523"/>
      <c r="M32" s="523"/>
      <c r="N32" s="523"/>
      <c r="O32" s="523"/>
      <c r="P32" s="523"/>
      <c r="Q32" s="523"/>
      <c r="R32" s="523"/>
      <c r="S32" s="523"/>
      <c r="T32" s="523"/>
      <c r="U32" s="523"/>
      <c r="V32" s="523"/>
    </row>
    <row r="33" spans="1:22" s="249" customFormat="1" ht="23.25" x14ac:dyDescent="0.35">
      <c r="H33" s="276" t="s">
        <v>123</v>
      </c>
    </row>
    <row r="34" spans="1:22" s="249" customFormat="1" ht="23.25" x14ac:dyDescent="0.35">
      <c r="A34" s="249" t="s">
        <v>124</v>
      </c>
      <c r="G34" s="250">
        <f>SUM(G35:G37)</f>
        <v>23</v>
      </c>
      <c r="H34" s="277">
        <v>1</v>
      </c>
      <c r="I34" s="278"/>
    </row>
    <row r="35" spans="1:22" s="249" customFormat="1" ht="23.25" x14ac:dyDescent="0.35">
      <c r="A35" s="249" t="s">
        <v>125</v>
      </c>
      <c r="G35" s="250">
        <f>MASTER!AW422</f>
        <v>14</v>
      </c>
      <c r="H35" s="279">
        <f>G35/G34</f>
        <v>0.60869565217391308</v>
      </c>
      <c r="I35" s="278"/>
      <c r="K35" s="249" t="s">
        <v>243</v>
      </c>
      <c r="P35" s="280"/>
    </row>
    <row r="36" spans="1:22" s="249" customFormat="1" ht="23.25" x14ac:dyDescent="0.35">
      <c r="A36" s="249" t="s">
        <v>126</v>
      </c>
      <c r="G36" s="250">
        <f>MASTER!AX422</f>
        <v>9</v>
      </c>
      <c r="H36" s="279">
        <f>G36/G34</f>
        <v>0.39130434782608697</v>
      </c>
      <c r="I36" s="281"/>
    </row>
    <row r="37" spans="1:22" s="249" customFormat="1" ht="20.25" customHeight="1" x14ac:dyDescent="0.35">
      <c r="A37" s="282" t="s">
        <v>127</v>
      </c>
      <c r="B37" s="275"/>
      <c r="C37" s="275"/>
      <c r="D37" s="275"/>
      <c r="E37" s="275"/>
      <c r="F37" s="275"/>
      <c r="G37" s="250">
        <f>MASTER!AY422</f>
        <v>0</v>
      </c>
      <c r="H37" s="279">
        <f>G37/G34</f>
        <v>0</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207</v>
      </c>
      <c r="G39" s="283" t="s">
        <v>208</v>
      </c>
      <c r="H39" s="283" t="s">
        <v>209</v>
      </c>
      <c r="I39" s="283" t="s">
        <v>210</v>
      </c>
    </row>
    <row r="40" spans="1:22" s="249" customFormat="1" ht="23.25" x14ac:dyDescent="0.35">
      <c r="G40" s="283">
        <f>MASTER!BY479</f>
        <v>6</v>
      </c>
      <c r="H40" s="283">
        <f>MASTER!BY489</f>
        <v>6</v>
      </c>
      <c r="I40" s="283">
        <f>MASTER!BY499</f>
        <v>6</v>
      </c>
      <c r="K40" s="249">
        <v>5</v>
      </c>
    </row>
    <row r="41" spans="1:22" s="249" customFormat="1" ht="23.25" customHeight="1" x14ac:dyDescent="0.35">
      <c r="A41" s="509" t="s">
        <v>206</v>
      </c>
      <c r="B41" s="523"/>
      <c r="C41" s="523"/>
      <c r="D41" s="523"/>
      <c r="E41" s="523"/>
      <c r="F41" s="523"/>
      <c r="G41" s="523"/>
      <c r="H41" s="523"/>
      <c r="I41" s="523"/>
      <c r="J41" s="523"/>
      <c r="K41" s="523"/>
      <c r="L41" s="523"/>
      <c r="M41" s="523"/>
      <c r="N41" s="523"/>
      <c r="O41" s="523"/>
      <c r="P41" s="523"/>
      <c r="Q41" s="523"/>
      <c r="R41" s="523"/>
      <c r="S41" s="523"/>
      <c r="T41" s="523"/>
      <c r="U41" s="523"/>
      <c r="V41" s="523"/>
    </row>
    <row r="42" spans="1:22" s="249" customFormat="1" ht="23.25" x14ac:dyDescent="0.35"/>
    <row r="43" spans="1:22" s="249" customFormat="1" ht="23.25" x14ac:dyDescent="0.35">
      <c r="A43" s="527" t="s">
        <v>193</v>
      </c>
      <c r="B43" s="529" t="s">
        <v>194</v>
      </c>
      <c r="C43" s="529"/>
      <c r="D43" s="529"/>
      <c r="E43" s="529"/>
      <c r="F43" s="530"/>
      <c r="G43" s="284"/>
      <c r="H43" s="284"/>
      <c r="I43" s="284"/>
    </row>
    <row r="44" spans="1:22" s="249" customFormat="1" ht="23.25" x14ac:dyDescent="0.35">
      <c r="A44" s="528"/>
      <c r="B44" s="283" t="s">
        <v>195</v>
      </c>
      <c r="C44" s="283" t="s">
        <v>196</v>
      </c>
      <c r="D44" s="283" t="s">
        <v>197</v>
      </c>
      <c r="E44" s="285" t="s">
        <v>198</v>
      </c>
      <c r="F44" s="530"/>
    </row>
    <row r="45" spans="1:22" s="249" customFormat="1" ht="23.25" x14ac:dyDescent="0.35">
      <c r="A45" s="286" t="s">
        <v>199</v>
      </c>
      <c r="B45" s="287">
        <f>MASTER!E53/14</f>
        <v>16</v>
      </c>
      <c r="C45" s="287">
        <f>MASTER!Q53/14</f>
        <v>16</v>
      </c>
      <c r="D45" s="287">
        <f>MASTER!E95/14</f>
        <v>16</v>
      </c>
      <c r="E45" s="288">
        <f>MASTER!Q95/14</f>
        <v>7.5</v>
      </c>
      <c r="F45" s="339"/>
      <c r="G45" s="290" t="s">
        <v>244</v>
      </c>
      <c r="H45" s="290"/>
      <c r="I45" s="290"/>
      <c r="J45" s="290"/>
      <c r="K45" s="290"/>
      <c r="L45" s="290"/>
    </row>
    <row r="46" spans="1:22" s="249" customFormat="1" ht="24" customHeight="1" x14ac:dyDescent="0.35">
      <c r="A46" s="291" t="s">
        <v>200</v>
      </c>
      <c r="B46" s="287">
        <f>MASTER!E54/14</f>
        <v>16</v>
      </c>
      <c r="C46" s="287">
        <f>MASTER!Q54/14</f>
        <v>23.142857142857142</v>
      </c>
      <c r="D46" s="287">
        <f>MASTER!E96/14</f>
        <v>16</v>
      </c>
      <c r="E46" s="288">
        <f>MASTER!Q96/14</f>
        <v>16.642857142857142</v>
      </c>
      <c r="F46" s="264"/>
      <c r="H46" s="290"/>
      <c r="I46" s="290"/>
      <c r="J46" s="290"/>
      <c r="K46" s="290"/>
      <c r="L46" s="290"/>
    </row>
    <row r="47" spans="1:22" s="249" customFormat="1" ht="23.25" x14ac:dyDescent="0.35">
      <c r="A47" s="286" t="s">
        <v>201</v>
      </c>
      <c r="B47" s="287">
        <f>MASTER!M54/14</f>
        <v>53.571428571428569</v>
      </c>
      <c r="C47" s="287">
        <f>MASTER!Y54/14</f>
        <v>53.571428571428569</v>
      </c>
      <c r="D47" s="287">
        <f>MASTER!M96/14</f>
        <v>53.571428571428569</v>
      </c>
      <c r="E47" s="288">
        <f>MASTER!Y96/14</f>
        <v>53.571428571428569</v>
      </c>
      <c r="F47" s="339"/>
      <c r="G47" s="290" t="s">
        <v>229</v>
      </c>
      <c r="H47" s="290"/>
      <c r="I47" s="290"/>
      <c r="J47" s="290"/>
      <c r="K47" s="290"/>
      <c r="L47" s="290"/>
    </row>
    <row r="48" spans="1:22" s="249" customFormat="1" ht="23.25" x14ac:dyDescent="0.35">
      <c r="A48" s="336"/>
      <c r="B48" s="337"/>
      <c r="C48" s="337"/>
      <c r="D48" s="337"/>
      <c r="E48" s="338"/>
      <c r="F48" s="339"/>
      <c r="G48" s="290"/>
      <c r="H48" s="290"/>
      <c r="I48" s="290"/>
      <c r="J48" s="290"/>
      <c r="K48" s="290"/>
      <c r="L48" s="290"/>
    </row>
    <row r="49" spans="1:22" s="249" customFormat="1" ht="23.25" x14ac:dyDescent="0.35">
      <c r="A49" s="529" t="s">
        <v>224</v>
      </c>
      <c r="B49" s="529"/>
      <c r="C49" s="289">
        <f>SUM(B46:E46)*14-A52-A54</f>
        <v>776.99999999999989</v>
      </c>
      <c r="E49" s="290" t="s">
        <v>264</v>
      </c>
    </row>
    <row r="50" spans="1:22" s="249" customFormat="1" ht="23.25" x14ac:dyDescent="0.35">
      <c r="A50" s="265"/>
      <c r="B50" s="265"/>
      <c r="C50" s="339"/>
      <c r="E50" s="290"/>
    </row>
    <row r="51" spans="1:22" s="249" customFormat="1" ht="23.25" x14ac:dyDescent="0.35">
      <c r="A51" s="249" t="s">
        <v>265</v>
      </c>
      <c r="I51" s="292"/>
      <c r="K51" s="293"/>
      <c r="P51" s="294"/>
    </row>
    <row r="52" spans="1:22" s="249" customFormat="1" ht="23.25" x14ac:dyDescent="0.35">
      <c r="A52" s="249">
        <f>MASTER!BA448+MASTER!BB448+MASTER!BC448+MASTER!BD448+MASTER!BM448+MASTER!BN448+MASTER!BO448+MASTER!BP448</f>
        <v>200</v>
      </c>
      <c r="B52" s="295" t="s">
        <v>128</v>
      </c>
      <c r="C52" s="249" t="s">
        <v>245</v>
      </c>
      <c r="I52" s="292"/>
      <c r="K52" s="293"/>
      <c r="P52" s="294"/>
    </row>
    <row r="53" spans="1:22" s="249" customFormat="1" ht="23.25" x14ac:dyDescent="0.35">
      <c r="A53" s="249" t="s">
        <v>263</v>
      </c>
      <c r="I53" s="292"/>
      <c r="K53" s="293"/>
      <c r="P53" s="294"/>
    </row>
    <row r="54" spans="1:22" s="249" customFormat="1" ht="23.25" x14ac:dyDescent="0.35">
      <c r="A54" s="249">
        <f>MASTER!BX448+MASTER!BY448+MASTER!BZ448+MASTER!CA448</f>
        <v>28</v>
      </c>
      <c r="B54" s="295" t="s">
        <v>128</v>
      </c>
      <c r="C54" s="249" t="s">
        <v>246</v>
      </c>
      <c r="I54" s="292"/>
      <c r="K54" s="293"/>
      <c r="P54" s="294"/>
    </row>
    <row r="55" spans="1:22" ht="23.25" x14ac:dyDescent="0.35">
      <c r="A55" s="249"/>
      <c r="G55" s="296"/>
      <c r="H55" s="249"/>
      <c r="I55" s="297"/>
      <c r="K55" s="249"/>
      <c r="P55" s="298"/>
    </row>
    <row r="56" spans="1:22" s="249" customFormat="1" ht="23.25" x14ac:dyDescent="0.35">
      <c r="G56" s="296"/>
      <c r="I56" s="299"/>
    </row>
    <row r="57" spans="1:22" s="249" customFormat="1" ht="23.25" x14ac:dyDescent="0.35">
      <c r="A57" s="531" t="s">
        <v>268</v>
      </c>
      <c r="B57" s="531"/>
      <c r="C57" s="531"/>
      <c r="D57" s="531"/>
      <c r="E57" s="531"/>
      <c r="F57" s="531"/>
      <c r="G57" s="531"/>
      <c r="H57" s="531"/>
      <c r="I57" s="531"/>
      <c r="J57" s="531"/>
      <c r="K57" s="531"/>
      <c r="L57" s="531"/>
      <c r="M57" s="531"/>
      <c r="N57" s="531"/>
      <c r="O57" s="531"/>
      <c r="P57" s="300">
        <f>(SUM(B46:D46)-(MASTER!G58+MASTER!S58+MASTER!G100))/(MASTER!G58+MASTER!S58+MASTER!G100)</f>
        <v>0.90147783251231517</v>
      </c>
      <c r="R57" s="249" t="s">
        <v>242</v>
      </c>
    </row>
    <row r="58" spans="1:22" s="249" customFormat="1" ht="23.25" x14ac:dyDescent="0.35">
      <c r="G58" s="301"/>
    </row>
    <row r="59" spans="1:22" s="249" customFormat="1" ht="23.25" x14ac:dyDescent="0.35"/>
    <row r="62" spans="1:22" s="249" customFormat="1" ht="23.25" customHeight="1" x14ac:dyDescent="0.35">
      <c r="A62" s="509" t="s">
        <v>129</v>
      </c>
      <c r="B62" s="523"/>
      <c r="C62" s="523"/>
      <c r="D62" s="523"/>
      <c r="E62" s="523"/>
      <c r="F62" s="523"/>
      <c r="G62" s="523"/>
      <c r="H62" s="523"/>
      <c r="I62" s="523"/>
      <c r="J62" s="523"/>
      <c r="K62" s="523"/>
      <c r="L62" s="523"/>
      <c r="M62" s="523"/>
      <c r="N62" s="523"/>
      <c r="O62" s="523"/>
      <c r="P62" s="523"/>
      <c r="Q62" s="523"/>
      <c r="R62" s="523"/>
      <c r="S62" s="523"/>
      <c r="T62" s="523"/>
      <c r="U62" s="523"/>
      <c r="V62" s="523"/>
    </row>
    <row r="63" spans="1:22" s="249" customFormat="1" ht="23.25" x14ac:dyDescent="0.35"/>
    <row r="64" spans="1:22" ht="23.25" x14ac:dyDescent="0.35">
      <c r="A64" s="524" t="s">
        <v>202</v>
      </c>
      <c r="B64" s="524"/>
      <c r="C64" s="524"/>
      <c r="D64" s="524"/>
      <c r="E64" s="524"/>
      <c r="F64" s="524"/>
      <c r="G64" s="524"/>
      <c r="H64" s="524"/>
      <c r="I64" s="524"/>
      <c r="J64" s="524"/>
      <c r="K64" s="524"/>
      <c r="L64" s="524"/>
      <c r="M64" s="524"/>
    </row>
    <row r="65" spans="1:13" ht="23.25" x14ac:dyDescent="0.35">
      <c r="A65" s="524" t="s">
        <v>203</v>
      </c>
      <c r="B65" s="524"/>
      <c r="C65" s="524"/>
      <c r="D65" s="524"/>
      <c r="E65" s="524"/>
      <c r="F65" s="524"/>
      <c r="G65" s="524"/>
      <c r="H65" s="524"/>
      <c r="I65" s="524"/>
      <c r="J65" s="524"/>
      <c r="K65" s="524"/>
      <c r="L65" s="524"/>
      <c r="M65" s="524"/>
    </row>
    <row r="66" spans="1:13" ht="23.25" x14ac:dyDescent="0.35">
      <c r="A66" s="524" t="s">
        <v>204</v>
      </c>
      <c r="B66" s="524"/>
      <c r="C66" s="524"/>
      <c r="D66" s="524"/>
      <c r="E66" s="524"/>
      <c r="F66" s="524"/>
      <c r="G66" s="524"/>
      <c r="H66" s="524"/>
      <c r="I66" s="524"/>
      <c r="J66" s="524"/>
      <c r="K66" s="524"/>
      <c r="L66" s="524"/>
      <c r="M66" s="524"/>
    </row>
    <row r="67" spans="1:13" ht="23.25" x14ac:dyDescent="0.35">
      <c r="A67" s="249"/>
    </row>
  </sheetData>
  <sheetProtection algorithmName="SHA-512" hashValue="zziyedKg+24iAsOeC0C/uiRrUQxGpNsTw+1zWoeT6hsWPYfE4gvMd4/S/JC7BUrKicp1+LR24lYz2dcUpqVe9A==" saltValue="0A+X1iXUm/IsHGAjUDPTgw==" spinCount="100000" sheet="1" objects="1" scenarios="1" selectLockedCells="1"/>
  <mergeCells count="19">
    <mergeCell ref="A62:V62"/>
    <mergeCell ref="A64:M64"/>
    <mergeCell ref="A65:M65"/>
    <mergeCell ref="A66:M66"/>
    <mergeCell ref="A30:V30"/>
    <mergeCell ref="A32:V32"/>
    <mergeCell ref="A41:V41"/>
    <mergeCell ref="A43:A44"/>
    <mergeCell ref="B43:E43"/>
    <mergeCell ref="F43:F44"/>
    <mergeCell ref="A49:B49"/>
    <mergeCell ref="A57:O57"/>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rowBreaks count="1" manualBreakCount="1">
    <brk id="4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J2" sqref="J2"/>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2" style="57" bestFit="1" customWidth="1"/>
    <col min="28" max="16384" width="9.140625" style="57"/>
  </cols>
  <sheetData>
    <row r="1" spans="1:33" x14ac:dyDescent="0.2">
      <c r="A1" s="57" t="s">
        <v>255</v>
      </c>
      <c r="B1" s="57" t="s">
        <v>130</v>
      </c>
      <c r="C1" s="57">
        <v>20210908</v>
      </c>
      <c r="E1" s="57">
        <v>2021</v>
      </c>
      <c r="F1" s="57">
        <v>9</v>
      </c>
      <c r="G1" s="57">
        <v>8</v>
      </c>
      <c r="H1" s="57" t="s">
        <v>262</v>
      </c>
      <c r="J1" s="341" t="s">
        <v>269</v>
      </c>
    </row>
    <row r="2" spans="1:33" x14ac:dyDescent="0.2">
      <c r="A2" s="56" t="str">
        <f>MASTER!AT478</f>
        <v>codDisciplina</v>
      </c>
      <c r="B2" s="57" t="str">
        <f>MASTER!AU478</f>
        <v>ID</v>
      </c>
      <c r="C2" s="56" t="str">
        <f>MASTER!AV478</f>
        <v>Disciplina</v>
      </c>
      <c r="D2" s="56" t="str">
        <f>MASTER!AW478</f>
        <v>An</v>
      </c>
      <c r="E2" s="56" t="str">
        <f>MASTER!AX478</f>
        <v>Sem</v>
      </c>
      <c r="F2" s="57" t="str">
        <f>MASTER!AY478</f>
        <v>Tip Ev</v>
      </c>
      <c r="G2" s="56" t="str">
        <f>MASTER!AZ478</f>
        <v>Regim Disc</v>
      </c>
      <c r="H2" s="57" t="str">
        <f>MASTER!BA478</f>
        <v>C/sapt</v>
      </c>
      <c r="I2" s="57" t="str">
        <f>MASTER!BB478</f>
        <v>S/L/P/sapt</v>
      </c>
      <c r="J2" s="57" t="str">
        <f>MASTER!BC478</f>
        <v>Total ore integral/sapt</v>
      </c>
      <c r="K2" s="57" t="str">
        <f>MASTER!BD478</f>
        <v>C/sem</v>
      </c>
      <c r="L2" s="57" t="str">
        <f>MASTER!BE478</f>
        <v>S/L/P/sem</v>
      </c>
      <c r="M2" s="57" t="str">
        <f>MASTER!BF478</f>
        <v>Total ore integral /sem</v>
      </c>
      <c r="N2" s="57" t="str">
        <f>MASTER!BG478</f>
        <v>Practica/sapt</v>
      </c>
      <c r="O2" s="57" t="str">
        <f>MASTER!BH478</f>
        <v>Elab proiect/sapt</v>
      </c>
      <c r="P2" s="57" t="str">
        <f>MASTER!BI478</f>
        <v>Total ore as. partial /sapt</v>
      </c>
      <c r="Q2" s="57" t="str">
        <f>MASTER!BJ478</f>
        <v>Practica/sem</v>
      </c>
      <c r="R2" s="57" t="str">
        <f>MASTER!BK478</f>
        <v>Elab proiect/sem</v>
      </c>
      <c r="S2" s="57" t="str">
        <f>MASTER!BL478</f>
        <v>Total ore as. partial /sem</v>
      </c>
      <c r="T2" s="57" t="str">
        <f>MASTER!BM478</f>
        <v>VPI/sapt</v>
      </c>
      <c r="U2" s="57" t="str">
        <f>MASTER!BN478</f>
        <v>VPI/sem</v>
      </c>
      <c r="V2" s="57" t="str">
        <f>MASTER!BO478</f>
        <v>Nr credite</v>
      </c>
      <c r="W2" s="57" t="str">
        <f>MASTER!BP478</f>
        <v>Categorie formativa</v>
      </c>
      <c r="X2" s="57" t="str">
        <f>MASTER!BQ478</f>
        <v>Total ore/sapt</v>
      </c>
      <c r="Y2" s="57" t="str">
        <f>MASTER!BR478</f>
        <v>Total ore/sem</v>
      </c>
      <c r="Z2" s="57" t="str">
        <f>MASTER!BS478</f>
        <v>discip_predare</v>
      </c>
      <c r="AA2" t="s">
        <v>256</v>
      </c>
      <c r="AB2" t="s">
        <v>257</v>
      </c>
      <c r="AC2" t="s">
        <v>258</v>
      </c>
      <c r="AD2" s="334" t="s">
        <v>259</v>
      </c>
      <c r="AE2" s="334" t="s">
        <v>260</v>
      </c>
      <c r="AF2" s="334" t="s">
        <v>261</v>
      </c>
      <c r="AG2" t="s">
        <v>254</v>
      </c>
    </row>
    <row r="3" spans="1:33" x14ac:dyDescent="0.2">
      <c r="A3" s="57" t="str">
        <f>MASTER!AT479</f>
        <v>M60.22.01.S1</v>
      </c>
      <c r="B3" s="57">
        <f>MASTER!AU479</f>
        <v>1</v>
      </c>
      <c r="C3" s="57" t="str">
        <f>MASTER!AV479</f>
        <v>Arhitectură de interior 1</v>
      </c>
      <c r="D3" s="57">
        <f>MASTER!AW479</f>
        <v>1</v>
      </c>
      <c r="E3" s="57" t="str">
        <f>MASTER!AX479</f>
        <v>1</v>
      </c>
      <c r="F3" s="57" t="str">
        <f>MASTER!AY479</f>
        <v>D</v>
      </c>
      <c r="G3" s="57" t="str">
        <f>MASTER!AZ479</f>
        <v>DI</v>
      </c>
      <c r="H3" s="57">
        <f>MASTER!BA479</f>
        <v>1</v>
      </c>
      <c r="I3" s="57">
        <f>MASTER!BB479</f>
        <v>3</v>
      </c>
      <c r="J3" s="57">
        <f>MASTER!BC479</f>
        <v>4</v>
      </c>
      <c r="K3" s="57">
        <f>MASTER!BD479</f>
        <v>14</v>
      </c>
      <c r="L3" s="57">
        <f>MASTER!BE479</f>
        <v>42</v>
      </c>
      <c r="M3" s="57">
        <f>MASTER!BF479</f>
        <v>56</v>
      </c>
      <c r="N3" s="57">
        <f>MASTER!BG479</f>
        <v>0</v>
      </c>
      <c r="O3" s="57" t="str">
        <f>MASTER!BH479</f>
        <v/>
      </c>
      <c r="P3" s="57">
        <f>MASTER!BI479</f>
        <v>0</v>
      </c>
      <c r="Q3" s="57">
        <f>MASTER!BJ479</f>
        <v>0</v>
      </c>
      <c r="R3" s="57" t="str">
        <f>MASTER!BK479</f>
        <v/>
      </c>
      <c r="S3" s="57">
        <f>MASTER!BL479</f>
        <v>0</v>
      </c>
      <c r="T3" s="57">
        <f>MASTER!BM479</f>
        <v>10.3</v>
      </c>
      <c r="U3" s="57">
        <f>MASTER!BN479</f>
        <v>144</v>
      </c>
      <c r="V3" s="57">
        <f>MASTER!BO479</f>
        <v>8</v>
      </c>
      <c r="W3" s="57" t="str">
        <f>MASTER!BP479</f>
        <v>DS</v>
      </c>
      <c r="X3" s="57">
        <f>MASTER!BQ479</f>
        <v>14.3</v>
      </c>
      <c r="Y3" s="57">
        <f>MASTER!BR479</f>
        <v>200</v>
      </c>
      <c r="Z3" s="57">
        <f>MASTER!BS479</f>
        <v>1</v>
      </c>
      <c r="AA3" t="str">
        <f>MASTER!H$6</f>
        <v>Arhitectură</v>
      </c>
      <c r="AB3">
        <f>MASTER!C$17</f>
        <v>10</v>
      </c>
      <c r="AC3" t="str">
        <f>MASTER!H$7</f>
        <v>Tendinţe, materiale şi tehnologii noi în arhitectura de interior</v>
      </c>
      <c r="AD3">
        <f>MASTER!A$17</f>
        <v>50</v>
      </c>
      <c r="AE3">
        <f>MASTER!B$17</f>
        <v>60</v>
      </c>
      <c r="AF3">
        <f>MASTER!D$17</f>
        <v>0</v>
      </c>
      <c r="AG3" t="str">
        <f>MASTER!BT479</f>
        <v>2022</v>
      </c>
    </row>
    <row r="4" spans="1:33" x14ac:dyDescent="0.2">
      <c r="A4" s="57" t="str">
        <f>MASTER!AT480</f>
        <v>M60.22.01.A2</v>
      </c>
      <c r="B4" s="57">
        <f>MASTER!AU480</f>
        <v>2</v>
      </c>
      <c r="C4" s="57" t="str">
        <f>MASTER!AV480</f>
        <v>Stilistică comparată</v>
      </c>
      <c r="D4" s="57">
        <f>MASTER!AW480</f>
        <v>1</v>
      </c>
      <c r="E4" s="57" t="str">
        <f>MASTER!AX480</f>
        <v>1</v>
      </c>
      <c r="F4" s="57" t="str">
        <f>MASTER!AY480</f>
        <v>E</v>
      </c>
      <c r="G4" s="57" t="str">
        <f>MASTER!AZ480</f>
        <v>DI</v>
      </c>
      <c r="H4" s="57">
        <f>MASTER!BA480</f>
        <v>2</v>
      </c>
      <c r="I4" s="57">
        <f>MASTER!BB480</f>
        <v>0</v>
      </c>
      <c r="J4" s="57">
        <f>MASTER!BC480</f>
        <v>2</v>
      </c>
      <c r="K4" s="57">
        <f>MASTER!BD480</f>
        <v>28</v>
      </c>
      <c r="L4" s="57">
        <f>MASTER!BE480</f>
        <v>0</v>
      </c>
      <c r="M4" s="57">
        <f>MASTER!BF480</f>
        <v>28</v>
      </c>
      <c r="N4" s="57">
        <f>MASTER!BG480</f>
        <v>0</v>
      </c>
      <c r="O4" s="57" t="str">
        <f>MASTER!BH480</f>
        <v/>
      </c>
      <c r="P4" s="57">
        <f>MASTER!BI480</f>
        <v>0</v>
      </c>
      <c r="Q4" s="57">
        <f>MASTER!BJ480</f>
        <v>0</v>
      </c>
      <c r="R4" s="57" t="str">
        <f>MASTER!BK480</f>
        <v/>
      </c>
      <c r="S4" s="57">
        <f>MASTER!BL480</f>
        <v>0</v>
      </c>
      <c r="T4" s="57">
        <f>MASTER!BM480</f>
        <v>5.0999999999999996</v>
      </c>
      <c r="U4" s="57">
        <f>MASTER!BN480</f>
        <v>72</v>
      </c>
      <c r="V4" s="57">
        <f>MASTER!BO480</f>
        <v>4</v>
      </c>
      <c r="W4" s="57" t="str">
        <f>MASTER!BP480</f>
        <v>DA</v>
      </c>
      <c r="X4" s="57">
        <f>MASTER!BQ480</f>
        <v>7.1</v>
      </c>
      <c r="Y4" s="57">
        <f>MASTER!BR480</f>
        <v>100</v>
      </c>
      <c r="Z4" s="57">
        <f>MASTER!BS480</f>
        <v>1</v>
      </c>
      <c r="AA4" t="str">
        <f>MASTER!H$6</f>
        <v>Arhitectură</v>
      </c>
      <c r="AB4">
        <f>MASTER!C$17</f>
        <v>10</v>
      </c>
      <c r="AC4" t="str">
        <f>MASTER!H$7</f>
        <v>Tendinţe, materiale şi tehnologii noi în arhitectura de interior</v>
      </c>
      <c r="AD4">
        <f>MASTER!A$17</f>
        <v>50</v>
      </c>
      <c r="AE4">
        <f>MASTER!B$17</f>
        <v>60</v>
      </c>
      <c r="AF4">
        <f>MASTER!D$17</f>
        <v>0</v>
      </c>
      <c r="AG4" t="str">
        <f>MASTER!BT480</f>
        <v>2022</v>
      </c>
    </row>
    <row r="5" spans="1:33" x14ac:dyDescent="0.2">
      <c r="A5" s="57" t="str">
        <f>MASTER!AT481</f>
        <v>M60.22.01.A3</v>
      </c>
      <c r="B5" s="57">
        <f>MASTER!AU481</f>
        <v>3</v>
      </c>
      <c r="C5" s="57" t="str">
        <f>MASTER!AV481</f>
        <v>Ambianţă de interior</v>
      </c>
      <c r="D5" s="57">
        <f>MASTER!AW481</f>
        <v>1</v>
      </c>
      <c r="E5" s="57" t="str">
        <f>MASTER!AX481</f>
        <v>1</v>
      </c>
      <c r="F5" s="57" t="str">
        <f>MASTER!AY481</f>
        <v>E</v>
      </c>
      <c r="G5" s="57" t="str">
        <f>MASTER!AZ481</f>
        <v>DI</v>
      </c>
      <c r="H5" s="57">
        <f>MASTER!BA481</f>
        <v>2</v>
      </c>
      <c r="I5" s="57">
        <f>MASTER!BB481</f>
        <v>1</v>
      </c>
      <c r="J5" s="57">
        <f>MASTER!BC481</f>
        <v>3</v>
      </c>
      <c r="K5" s="57">
        <f>MASTER!BD481</f>
        <v>28</v>
      </c>
      <c r="L5" s="57">
        <f>MASTER!BE481</f>
        <v>14</v>
      </c>
      <c r="M5" s="57">
        <f>MASTER!BF481</f>
        <v>42</v>
      </c>
      <c r="N5" s="57">
        <f>MASTER!BG481</f>
        <v>0</v>
      </c>
      <c r="O5" s="57" t="str">
        <f>MASTER!BH481</f>
        <v/>
      </c>
      <c r="P5" s="57">
        <f>MASTER!BI481</f>
        <v>0</v>
      </c>
      <c r="Q5" s="57">
        <f>MASTER!BJ481</f>
        <v>0</v>
      </c>
      <c r="R5" s="57" t="str">
        <f>MASTER!BK481</f>
        <v/>
      </c>
      <c r="S5" s="57">
        <f>MASTER!BL481</f>
        <v>0</v>
      </c>
      <c r="T5" s="57">
        <f>MASTER!BM481</f>
        <v>5.9</v>
      </c>
      <c r="U5" s="57">
        <f>MASTER!BN481</f>
        <v>83</v>
      </c>
      <c r="V5" s="57">
        <f>MASTER!BO481</f>
        <v>5</v>
      </c>
      <c r="W5" s="57" t="str">
        <f>MASTER!BP481</f>
        <v>DA</v>
      </c>
      <c r="X5" s="57">
        <f>MASTER!BQ481</f>
        <v>8.9</v>
      </c>
      <c r="Y5" s="57">
        <f>MASTER!BR481</f>
        <v>125</v>
      </c>
      <c r="Z5" s="57">
        <f>MASTER!BS481</f>
        <v>1</v>
      </c>
      <c r="AA5" t="str">
        <f>MASTER!H$6</f>
        <v>Arhitectură</v>
      </c>
      <c r="AB5">
        <f>MASTER!C$17</f>
        <v>10</v>
      </c>
      <c r="AC5" t="str">
        <f>MASTER!H$7</f>
        <v>Tendinţe, materiale şi tehnologii noi în arhitectura de interior</v>
      </c>
      <c r="AD5">
        <f>MASTER!A$17</f>
        <v>50</v>
      </c>
      <c r="AE5">
        <f>MASTER!B$17</f>
        <v>60</v>
      </c>
      <c r="AF5">
        <f>MASTER!D$17</f>
        <v>0</v>
      </c>
      <c r="AG5" t="str">
        <f>MASTER!BT481</f>
        <v>2022</v>
      </c>
    </row>
    <row r="6" spans="1:33" x14ac:dyDescent="0.2">
      <c r="A6" s="57" t="str">
        <f>MASTER!AT482</f>
        <v>M60.22.01.A4</v>
      </c>
      <c r="B6" s="57">
        <f>MASTER!AU482</f>
        <v>4</v>
      </c>
      <c r="C6" s="57" t="str">
        <f>MASTER!AV482</f>
        <v>Materiale şi tehnologii</v>
      </c>
      <c r="D6" s="57">
        <f>MASTER!AW482</f>
        <v>1</v>
      </c>
      <c r="E6" s="57" t="str">
        <f>MASTER!AX482</f>
        <v>1</v>
      </c>
      <c r="F6" s="57" t="str">
        <f>MASTER!AY482</f>
        <v>E</v>
      </c>
      <c r="G6" s="57" t="str">
        <f>MASTER!AZ482</f>
        <v>DI</v>
      </c>
      <c r="H6" s="57">
        <f>MASTER!BA482</f>
        <v>2</v>
      </c>
      <c r="I6" s="57">
        <f>MASTER!BB482</f>
        <v>1</v>
      </c>
      <c r="J6" s="57">
        <f>MASTER!BC482</f>
        <v>3</v>
      </c>
      <c r="K6" s="57">
        <f>MASTER!BD482</f>
        <v>28</v>
      </c>
      <c r="L6" s="57">
        <f>MASTER!BE482</f>
        <v>14</v>
      </c>
      <c r="M6" s="57">
        <f>MASTER!BF482</f>
        <v>42</v>
      </c>
      <c r="N6" s="57">
        <f>MASTER!BG482</f>
        <v>0</v>
      </c>
      <c r="O6" s="57" t="str">
        <f>MASTER!BH482</f>
        <v/>
      </c>
      <c r="P6" s="57">
        <f>MASTER!BI482</f>
        <v>0</v>
      </c>
      <c r="Q6" s="57">
        <f>MASTER!BJ482</f>
        <v>0</v>
      </c>
      <c r="R6" s="57" t="str">
        <f>MASTER!BK482</f>
        <v/>
      </c>
      <c r="S6" s="57">
        <f>MASTER!BL482</f>
        <v>0</v>
      </c>
      <c r="T6" s="57">
        <f>MASTER!BM482</f>
        <v>5.9</v>
      </c>
      <c r="U6" s="57">
        <f>MASTER!BN482</f>
        <v>83</v>
      </c>
      <c r="V6" s="57">
        <f>MASTER!BO482</f>
        <v>5</v>
      </c>
      <c r="W6" s="57" t="str">
        <f>MASTER!BP482</f>
        <v>DA</v>
      </c>
      <c r="X6" s="57">
        <f>MASTER!BQ482</f>
        <v>8.9</v>
      </c>
      <c r="Y6" s="57">
        <f>MASTER!BR482</f>
        <v>125</v>
      </c>
      <c r="Z6" s="57">
        <f>MASTER!BS482</f>
        <v>1</v>
      </c>
      <c r="AA6" t="str">
        <f>MASTER!H$6</f>
        <v>Arhitectură</v>
      </c>
      <c r="AB6">
        <f>MASTER!C$17</f>
        <v>10</v>
      </c>
      <c r="AC6" t="str">
        <f>MASTER!H$7</f>
        <v>Tendinţe, materiale şi tehnologii noi în arhitectura de interior</v>
      </c>
      <c r="AD6">
        <f>MASTER!A$17</f>
        <v>50</v>
      </c>
      <c r="AE6">
        <f>MASTER!B$17</f>
        <v>60</v>
      </c>
      <c r="AF6">
        <f>MASTER!D$17</f>
        <v>0</v>
      </c>
      <c r="AG6" t="str">
        <f>MASTER!BT482</f>
        <v>2022</v>
      </c>
    </row>
    <row r="7" spans="1:33" x14ac:dyDescent="0.2">
      <c r="A7" s="57" t="str">
        <f>MASTER!AT483</f>
        <v>M60.22.01.S5-ij</v>
      </c>
      <c r="B7" s="57">
        <f>MASTER!AU483</f>
        <v>5</v>
      </c>
      <c r="C7" s="57" t="str">
        <f>MASTER!AV483</f>
        <v/>
      </c>
      <c r="D7" s="57" t="str">
        <f>MASTER!AW483</f>
        <v/>
      </c>
      <c r="E7" s="57" t="str">
        <f>MASTER!AX483</f>
        <v/>
      </c>
      <c r="F7" s="57" t="str">
        <f>MASTER!AY483</f>
        <v/>
      </c>
      <c r="G7" s="57" t="str">
        <f>MASTER!AZ483</f>
        <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t="str">
        <f>MASTER!BO483</f>
        <v/>
      </c>
      <c r="W7" s="57" t="str">
        <f>MASTER!BP483</f>
        <v>DS</v>
      </c>
      <c r="X7" s="57" t="str">
        <f>MASTER!BQ483</f>
        <v/>
      </c>
      <c r="Y7" s="57" t="str">
        <f>MASTER!BR483</f>
        <v/>
      </c>
      <c r="Z7" s="57">
        <f>MASTER!BS483</f>
        <v>0</v>
      </c>
      <c r="AA7" t="str">
        <f>MASTER!H$6</f>
        <v>Arhitectură</v>
      </c>
      <c r="AB7">
        <f>MASTER!C$17</f>
        <v>10</v>
      </c>
      <c r="AC7" t="str">
        <f>MASTER!H$7</f>
        <v>Tendinţe, materiale şi tehnologii noi în arhitectura de interior</v>
      </c>
      <c r="AD7">
        <f>MASTER!A$17</f>
        <v>50</v>
      </c>
      <c r="AE7">
        <f>MASTER!B$17</f>
        <v>60</v>
      </c>
      <c r="AF7">
        <f>MASTER!D$17</f>
        <v>0</v>
      </c>
      <c r="AG7" t="str">
        <f>MASTER!BT483</f>
        <v/>
      </c>
    </row>
    <row r="8" spans="1:33" x14ac:dyDescent="0.2">
      <c r="A8" s="57" t="str">
        <f>MASTER!AT484</f>
        <v>M60.22.01.S6-ij</v>
      </c>
      <c r="B8" s="57">
        <f>MASTER!AU484</f>
        <v>6</v>
      </c>
      <c r="C8" s="57" t="str">
        <f>MASTER!AV484</f>
        <v/>
      </c>
      <c r="D8" s="57" t="str">
        <f>MASTER!AW484</f>
        <v/>
      </c>
      <c r="E8" s="57" t="str">
        <f>MASTER!AX484</f>
        <v/>
      </c>
      <c r="F8" s="57" t="str">
        <f>MASTER!AY484</f>
        <v/>
      </c>
      <c r="G8" s="57" t="str">
        <f>MASTER!AZ484</f>
        <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t="str">
        <f>MASTER!BO484</f>
        <v/>
      </c>
      <c r="W8" s="57" t="str">
        <f>MASTER!BP484</f>
        <v>DS</v>
      </c>
      <c r="X8" s="57" t="str">
        <f>MASTER!BQ484</f>
        <v/>
      </c>
      <c r="Y8" s="57" t="str">
        <f>MASTER!BR484</f>
        <v/>
      </c>
      <c r="Z8" s="57">
        <f>MASTER!BS484</f>
        <v>0</v>
      </c>
      <c r="AA8" t="str">
        <f>MASTER!H$6</f>
        <v>Arhitectură</v>
      </c>
      <c r="AB8">
        <f>MASTER!C$17</f>
        <v>10</v>
      </c>
      <c r="AC8" t="str">
        <f>MASTER!H$7</f>
        <v>Tendinţe, materiale şi tehnologii noi în arhitectura de interior</v>
      </c>
      <c r="AD8">
        <f>MASTER!A$17</f>
        <v>50</v>
      </c>
      <c r="AE8">
        <f>MASTER!B$17</f>
        <v>60</v>
      </c>
      <c r="AF8">
        <f>MASTER!D$17</f>
        <v>0</v>
      </c>
      <c r="AG8" t="str">
        <f>MASTER!BT484</f>
        <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Arhitectură</v>
      </c>
      <c r="AB9">
        <f>MASTER!C$17</f>
        <v>10</v>
      </c>
      <c r="AC9" t="str">
        <f>MASTER!H$7</f>
        <v>Tendinţe, materiale şi tehnologii noi în arhitectura de interior</v>
      </c>
      <c r="AD9">
        <f>MASTER!A$17</f>
        <v>50</v>
      </c>
      <c r="AE9">
        <f>MASTER!B$17</f>
        <v>60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Arhitectură</v>
      </c>
      <c r="AB10">
        <f>MASTER!C$17</f>
        <v>10</v>
      </c>
      <c r="AC10" t="str">
        <f>MASTER!H$7</f>
        <v>Tendinţe, materiale şi tehnologii noi în arhitectura de interior</v>
      </c>
      <c r="AD10">
        <f>MASTER!A$17</f>
        <v>50</v>
      </c>
      <c r="AE10">
        <f>MASTER!B$17</f>
        <v>60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Arhitectură</v>
      </c>
      <c r="AB11">
        <f>MASTER!C$17</f>
        <v>10</v>
      </c>
      <c r="AC11" t="str">
        <f>MASTER!H$7</f>
        <v>Tendinţe, materiale şi tehnologii noi în arhitectura de interior</v>
      </c>
      <c r="AD11">
        <f>MASTER!A$17</f>
        <v>50</v>
      </c>
      <c r="AE11">
        <f>MASTER!B$17</f>
        <v>60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Arhitectură</v>
      </c>
      <c r="AB12">
        <f>MASTER!C$17</f>
        <v>10</v>
      </c>
      <c r="AC12" t="str">
        <f>MASTER!H$7</f>
        <v>Tendinţe, materiale şi tehnologii noi în arhitectura de interior</v>
      </c>
      <c r="AD12">
        <f>MASTER!A$17</f>
        <v>50</v>
      </c>
      <c r="AE12">
        <f>MASTER!B$17</f>
        <v>60</v>
      </c>
      <c r="AF12">
        <f>MASTER!D$17</f>
        <v>0</v>
      </c>
      <c r="AG12" t="str">
        <f>MASTER!BT488</f>
        <v/>
      </c>
    </row>
    <row r="13" spans="1:33" x14ac:dyDescent="0.2">
      <c r="A13" s="57" t="str">
        <f>MASTER!AT489</f>
        <v>M60.22.02.S1</v>
      </c>
      <c r="B13" s="57">
        <f>MASTER!AU489</f>
        <v>1</v>
      </c>
      <c r="C13" s="57" t="str">
        <f>MASTER!AV489</f>
        <v>Arhitectură de interior 2</v>
      </c>
      <c r="D13" s="57">
        <f>MASTER!AW489</f>
        <v>1</v>
      </c>
      <c r="E13" s="57" t="str">
        <f>MASTER!AX489</f>
        <v>2</v>
      </c>
      <c r="F13" s="57" t="str">
        <f>MASTER!AY489</f>
        <v>D</v>
      </c>
      <c r="G13" s="57" t="str">
        <f>MASTER!AZ489</f>
        <v>DI</v>
      </c>
      <c r="H13" s="57">
        <f>MASTER!BA489</f>
        <v>1</v>
      </c>
      <c r="I13" s="57">
        <f>MASTER!BB489</f>
        <v>3</v>
      </c>
      <c r="J13" s="57">
        <f>MASTER!BC489</f>
        <v>4</v>
      </c>
      <c r="K13" s="57">
        <f>MASTER!BD489</f>
        <v>14</v>
      </c>
      <c r="L13" s="57">
        <f>MASTER!BE489</f>
        <v>42</v>
      </c>
      <c r="M13" s="57">
        <f>MASTER!BF489</f>
        <v>56</v>
      </c>
      <c r="N13" s="57">
        <f>MASTER!BG489</f>
        <v>0</v>
      </c>
      <c r="O13" s="57" t="str">
        <f>MASTER!BH489</f>
        <v/>
      </c>
      <c r="P13" s="57">
        <f>MASTER!BI489</f>
        <v>0</v>
      </c>
      <c r="Q13" s="57">
        <f>MASTER!BJ489</f>
        <v>0</v>
      </c>
      <c r="R13" s="57" t="str">
        <f>MASTER!BK489</f>
        <v/>
      </c>
      <c r="S13" s="57">
        <f>MASTER!BL489</f>
        <v>0</v>
      </c>
      <c r="T13" s="57">
        <f>MASTER!BM489</f>
        <v>10.3</v>
      </c>
      <c r="U13" s="57">
        <f>MASTER!BN489</f>
        <v>144</v>
      </c>
      <c r="V13" s="57">
        <f>MASTER!BO489</f>
        <v>8</v>
      </c>
      <c r="W13" s="57" t="str">
        <f>MASTER!BP489</f>
        <v>DS</v>
      </c>
      <c r="X13" s="57">
        <f>MASTER!BQ489</f>
        <v>14.3</v>
      </c>
      <c r="Y13" s="57">
        <f>MASTER!BR489</f>
        <v>0</v>
      </c>
      <c r="Z13" s="57">
        <f>MASTER!BS489</f>
        <v>1</v>
      </c>
      <c r="AA13" t="str">
        <f>MASTER!H$6</f>
        <v>Arhitectură</v>
      </c>
      <c r="AB13">
        <f>MASTER!C$17</f>
        <v>10</v>
      </c>
      <c r="AC13" t="str">
        <f>MASTER!H$7</f>
        <v>Tendinţe, materiale şi tehnologii noi în arhitectura de interior</v>
      </c>
      <c r="AD13">
        <f>MASTER!A$17</f>
        <v>50</v>
      </c>
      <c r="AE13">
        <f>MASTER!B$17</f>
        <v>60</v>
      </c>
      <c r="AF13">
        <f>MASTER!D$17</f>
        <v>0</v>
      </c>
      <c r="AG13" t="str">
        <f>MASTER!BT489</f>
        <v>2022</v>
      </c>
    </row>
    <row r="14" spans="1:33" x14ac:dyDescent="0.2">
      <c r="A14" s="57" t="str">
        <f>MASTER!AT490</f>
        <v>M60.22.02.A2</v>
      </c>
      <c r="B14" s="57">
        <f>MASTER!AU490</f>
        <v>2</v>
      </c>
      <c r="C14" s="57" t="str">
        <f>MASTER!AV490</f>
        <v>Design ambiental-Programe</v>
      </c>
      <c r="D14" s="57">
        <f>MASTER!AW490</f>
        <v>1</v>
      </c>
      <c r="E14" s="57" t="str">
        <f>MASTER!AX490</f>
        <v>2</v>
      </c>
      <c r="F14" s="57" t="str">
        <f>MASTER!AY490</f>
        <v>E</v>
      </c>
      <c r="G14" s="57" t="str">
        <f>MASTER!AZ490</f>
        <v>DI</v>
      </c>
      <c r="H14" s="57">
        <f>MASTER!BA490</f>
        <v>2</v>
      </c>
      <c r="I14" s="57">
        <f>MASTER!BB490</f>
        <v>0</v>
      </c>
      <c r="J14" s="57">
        <f>MASTER!BC490</f>
        <v>2</v>
      </c>
      <c r="K14" s="57">
        <f>MASTER!BD490</f>
        <v>28</v>
      </c>
      <c r="L14" s="57">
        <f>MASTER!BE490</f>
        <v>0</v>
      </c>
      <c r="M14" s="57">
        <f>MASTER!BF490</f>
        <v>28</v>
      </c>
      <c r="N14" s="57">
        <f>MASTER!BG490</f>
        <v>0</v>
      </c>
      <c r="O14" s="57" t="str">
        <f>MASTER!BH490</f>
        <v/>
      </c>
      <c r="P14" s="57">
        <f>MASTER!BI490</f>
        <v>0</v>
      </c>
      <c r="Q14" s="57">
        <f>MASTER!BJ490</f>
        <v>0</v>
      </c>
      <c r="R14" s="57" t="str">
        <f>MASTER!BK490</f>
        <v/>
      </c>
      <c r="S14" s="57">
        <f>MASTER!BL490</f>
        <v>0</v>
      </c>
      <c r="T14" s="57">
        <f>MASTER!BM490</f>
        <v>3.4</v>
      </c>
      <c r="U14" s="57">
        <f>MASTER!BN490</f>
        <v>47</v>
      </c>
      <c r="V14" s="57">
        <f>MASTER!BO490</f>
        <v>3</v>
      </c>
      <c r="W14" s="57" t="str">
        <f>MASTER!BP490</f>
        <v>DA</v>
      </c>
      <c r="X14" s="57">
        <f>MASTER!BQ490</f>
        <v>5.4</v>
      </c>
      <c r="Y14" s="57">
        <f>MASTER!BR490</f>
        <v>0</v>
      </c>
      <c r="Z14" s="57">
        <f>MASTER!BS490</f>
        <v>1</v>
      </c>
      <c r="AA14" t="str">
        <f>MASTER!H$6</f>
        <v>Arhitectură</v>
      </c>
      <c r="AB14">
        <f>MASTER!C$17</f>
        <v>10</v>
      </c>
      <c r="AC14" t="str">
        <f>MASTER!H$7</f>
        <v>Tendinţe, materiale şi tehnologii noi în arhitectura de interior</v>
      </c>
      <c r="AD14">
        <f>MASTER!A$17</f>
        <v>50</v>
      </c>
      <c r="AE14">
        <f>MASTER!B$17</f>
        <v>60</v>
      </c>
      <c r="AF14">
        <f>MASTER!D$17</f>
        <v>0</v>
      </c>
      <c r="AG14" t="str">
        <f>MASTER!BT490</f>
        <v>2022</v>
      </c>
    </row>
    <row r="15" spans="1:33" x14ac:dyDescent="0.2">
      <c r="A15" s="57" t="str">
        <f>MASTER!AT491</f>
        <v>M60.22.02.A3</v>
      </c>
      <c r="B15" s="57">
        <f>MASTER!AU491</f>
        <v>3</v>
      </c>
      <c r="C15" s="57" t="str">
        <f>MASTER!AV491</f>
        <v>Echipamente şi instalaţii</v>
      </c>
      <c r="D15" s="57">
        <f>MASTER!AW491</f>
        <v>1</v>
      </c>
      <c r="E15" s="57" t="str">
        <f>MASTER!AX491</f>
        <v>2</v>
      </c>
      <c r="F15" s="57" t="str">
        <f>MASTER!AY491</f>
        <v>E</v>
      </c>
      <c r="G15" s="57" t="str">
        <f>MASTER!AZ491</f>
        <v>DI</v>
      </c>
      <c r="H15" s="57">
        <f>MASTER!BA491</f>
        <v>2</v>
      </c>
      <c r="I15" s="57">
        <f>MASTER!BB491</f>
        <v>1</v>
      </c>
      <c r="J15" s="57">
        <f>MASTER!BC491</f>
        <v>3</v>
      </c>
      <c r="K15" s="57">
        <f>MASTER!BD491</f>
        <v>28</v>
      </c>
      <c r="L15" s="57">
        <f>MASTER!BE491</f>
        <v>14</v>
      </c>
      <c r="M15" s="57">
        <f>MASTER!BF491</f>
        <v>42</v>
      </c>
      <c r="N15" s="57">
        <f>MASTER!BG491</f>
        <v>0</v>
      </c>
      <c r="O15" s="57" t="str">
        <f>MASTER!BH491</f>
        <v/>
      </c>
      <c r="P15" s="57">
        <f>MASTER!BI491</f>
        <v>0</v>
      </c>
      <c r="Q15" s="57">
        <f>MASTER!BJ491</f>
        <v>0</v>
      </c>
      <c r="R15" s="57" t="str">
        <f>MASTER!BK491</f>
        <v/>
      </c>
      <c r="S15" s="57">
        <f>MASTER!BL491</f>
        <v>0</v>
      </c>
      <c r="T15" s="57">
        <f>MASTER!BM491</f>
        <v>5.9</v>
      </c>
      <c r="U15" s="57">
        <f>MASTER!BN491</f>
        <v>83</v>
      </c>
      <c r="V15" s="57">
        <f>MASTER!BO491</f>
        <v>5</v>
      </c>
      <c r="W15" s="57" t="str">
        <f>MASTER!BP491</f>
        <v>DA</v>
      </c>
      <c r="X15" s="57">
        <f>MASTER!BQ491</f>
        <v>8.9</v>
      </c>
      <c r="Y15" s="57">
        <f>MASTER!BR491</f>
        <v>0</v>
      </c>
      <c r="Z15" s="57">
        <f>MASTER!BS491</f>
        <v>1</v>
      </c>
      <c r="AA15" t="str">
        <f>MASTER!H$6</f>
        <v>Arhitectură</v>
      </c>
      <c r="AB15">
        <f>MASTER!C$17</f>
        <v>10</v>
      </c>
      <c r="AC15" t="str">
        <f>MASTER!H$7</f>
        <v>Tendinţe, materiale şi tehnologii noi în arhitectura de interior</v>
      </c>
      <c r="AD15">
        <f>MASTER!A$17</f>
        <v>50</v>
      </c>
      <c r="AE15">
        <f>MASTER!B$17</f>
        <v>60</v>
      </c>
      <c r="AF15">
        <f>MASTER!D$17</f>
        <v>0</v>
      </c>
      <c r="AG15" t="str">
        <f>MASTER!BT491</f>
        <v>2022</v>
      </c>
    </row>
    <row r="16" spans="1:33" x14ac:dyDescent="0.2">
      <c r="A16" s="57" t="str">
        <f>MASTER!AT492</f>
        <v>M60.22.02.A4</v>
      </c>
      <c r="B16" s="57">
        <f>MASTER!AU492</f>
        <v>4</v>
      </c>
      <c r="C16" s="57" t="str">
        <f>MASTER!AV492</f>
        <v>Scenografie</v>
      </c>
      <c r="D16" s="57">
        <f>MASTER!AW492</f>
        <v>1</v>
      </c>
      <c r="E16" s="57" t="str">
        <f>MASTER!AX492</f>
        <v>2</v>
      </c>
      <c r="F16" s="57" t="str">
        <f>MASTER!AY492</f>
        <v>E</v>
      </c>
      <c r="G16" s="57" t="str">
        <f>MASTER!AZ492</f>
        <v>DI</v>
      </c>
      <c r="H16" s="57">
        <f>MASTER!BA492</f>
        <v>2</v>
      </c>
      <c r="I16" s="57">
        <f>MASTER!BB492</f>
        <v>1</v>
      </c>
      <c r="J16" s="57">
        <f>MASTER!BC492</f>
        <v>3</v>
      </c>
      <c r="K16" s="57">
        <f>MASTER!BD492</f>
        <v>28</v>
      </c>
      <c r="L16" s="57">
        <f>MASTER!BE492</f>
        <v>14</v>
      </c>
      <c r="M16" s="57">
        <f>MASTER!BF492</f>
        <v>42</v>
      </c>
      <c r="N16" s="57">
        <f>MASTER!BG492</f>
        <v>0</v>
      </c>
      <c r="O16" s="57" t="str">
        <f>MASTER!BH492</f>
        <v/>
      </c>
      <c r="P16" s="57">
        <f>MASTER!BI492</f>
        <v>0</v>
      </c>
      <c r="Q16" s="57">
        <f>MASTER!BJ492</f>
        <v>0</v>
      </c>
      <c r="R16" s="57" t="str">
        <f>MASTER!BK492</f>
        <v/>
      </c>
      <c r="S16" s="57">
        <f>MASTER!BL492</f>
        <v>0</v>
      </c>
      <c r="T16" s="57">
        <f>MASTER!BM492</f>
        <v>4.0999999999999996</v>
      </c>
      <c r="U16" s="57">
        <f>MASTER!BN492</f>
        <v>58</v>
      </c>
      <c r="V16" s="57">
        <f>MASTER!BO492</f>
        <v>4</v>
      </c>
      <c r="W16" s="57" t="str">
        <f>MASTER!BP492</f>
        <v>DA</v>
      </c>
      <c r="X16" s="57">
        <f>MASTER!BQ492</f>
        <v>7.1</v>
      </c>
      <c r="Y16" s="57">
        <f>MASTER!BR492</f>
        <v>0</v>
      </c>
      <c r="Z16" s="57">
        <f>MASTER!BS492</f>
        <v>1</v>
      </c>
      <c r="AA16" t="str">
        <f>MASTER!H$6</f>
        <v>Arhitectură</v>
      </c>
      <c r="AB16">
        <f>MASTER!C$17</f>
        <v>10</v>
      </c>
      <c r="AC16" t="str">
        <f>MASTER!H$7</f>
        <v>Tendinţe, materiale şi tehnologii noi în arhitectura de interior</v>
      </c>
      <c r="AD16">
        <f>MASTER!A$17</f>
        <v>50</v>
      </c>
      <c r="AE16">
        <f>MASTER!B$17</f>
        <v>60</v>
      </c>
      <c r="AF16">
        <f>MASTER!D$17</f>
        <v>0</v>
      </c>
      <c r="AG16" t="str">
        <f>MASTER!BT492</f>
        <v>2022</v>
      </c>
    </row>
    <row r="17" spans="1:33" x14ac:dyDescent="0.2">
      <c r="A17" s="57" t="str">
        <f>MASTER!AT493</f>
        <v>M60.22.02.S5-ij</v>
      </c>
      <c r="B17" s="57">
        <f>MASTER!AU493</f>
        <v>5</v>
      </c>
      <c r="C17" s="57" t="str">
        <f>MASTER!AV493</f>
        <v/>
      </c>
      <c r="D17" s="57" t="str">
        <f>MASTER!AW493</f>
        <v/>
      </c>
      <c r="E17" s="57" t="str">
        <f>MASTER!AX493</f>
        <v/>
      </c>
      <c r="F17" s="57" t="str">
        <f>MASTER!AY493</f>
        <v/>
      </c>
      <c r="G17" s="57" t="str">
        <f>MASTER!AZ493</f>
        <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t="str">
        <f>MASTER!BO493</f>
        <v/>
      </c>
      <c r="W17" s="57" t="str">
        <f>MASTER!BP493</f>
        <v>DS</v>
      </c>
      <c r="X17" s="57" t="str">
        <f>MASTER!BQ493</f>
        <v/>
      </c>
      <c r="Y17" s="57" t="str">
        <f>MASTER!BR493</f>
        <v/>
      </c>
      <c r="Z17" s="57">
        <f>MASTER!BS493</f>
        <v>0</v>
      </c>
      <c r="AA17" t="str">
        <f>MASTER!H$6</f>
        <v>Arhitectură</v>
      </c>
      <c r="AB17">
        <f>MASTER!C$17</f>
        <v>10</v>
      </c>
      <c r="AC17" t="str">
        <f>MASTER!H$7</f>
        <v>Tendinţe, materiale şi tehnologii noi în arhitectura de interior</v>
      </c>
      <c r="AD17">
        <f>MASTER!A$17</f>
        <v>50</v>
      </c>
      <c r="AE17">
        <f>MASTER!B$17</f>
        <v>60</v>
      </c>
      <c r="AF17">
        <f>MASTER!D$17</f>
        <v>0</v>
      </c>
      <c r="AG17" t="str">
        <f>MASTER!BT493</f>
        <v/>
      </c>
    </row>
    <row r="18" spans="1:33" x14ac:dyDescent="0.2">
      <c r="A18" s="57" t="str">
        <f>MASTER!AT494</f>
        <v>M60.22.02.S6-ij</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t="str">
        <f>MASTER!BO494</f>
        <v/>
      </c>
      <c r="W18" s="57" t="str">
        <f>MASTER!BP494</f>
        <v>DS</v>
      </c>
      <c r="X18" s="57" t="str">
        <f>MASTER!BQ494</f>
        <v/>
      </c>
      <c r="Y18" s="57" t="str">
        <f>MASTER!BR494</f>
        <v/>
      </c>
      <c r="Z18" s="57">
        <f>MASTER!BS494</f>
        <v>0</v>
      </c>
      <c r="AA18" t="str">
        <f>MASTER!H$6</f>
        <v>Arhitectură</v>
      </c>
      <c r="AB18">
        <f>MASTER!C$17</f>
        <v>10</v>
      </c>
      <c r="AC18" t="str">
        <f>MASTER!H$7</f>
        <v>Tendinţe, materiale şi tehnologii noi în arhitectura de interior</v>
      </c>
      <c r="AD18">
        <f>MASTER!A$17</f>
        <v>50</v>
      </c>
      <c r="AE18">
        <f>MASTER!B$17</f>
        <v>60</v>
      </c>
      <c r="AF18">
        <f>MASTER!D$17</f>
        <v>0</v>
      </c>
      <c r="AG18" t="str">
        <f>MASTER!BT494</f>
        <v/>
      </c>
    </row>
    <row r="19" spans="1:33" x14ac:dyDescent="0.2">
      <c r="A19" s="57" t="str">
        <f>MASTER!AT495</f>
        <v>M60.22.02.S7</v>
      </c>
      <c r="B19" s="57">
        <f>MASTER!AU495</f>
        <v>7</v>
      </c>
      <c r="C19" s="57" t="str">
        <f>MASTER!AV495</f>
        <v>Practică profesională 1</v>
      </c>
      <c r="D19" s="57">
        <f>MASTER!AW495</f>
        <v>1</v>
      </c>
      <c r="E19" s="57" t="str">
        <f>MASTER!AX495</f>
        <v>2</v>
      </c>
      <c r="F19" s="57" t="str">
        <f>MASTER!AY495</f>
        <v>D</v>
      </c>
      <c r="G19" s="57" t="str">
        <f>MASTER!AZ495</f>
        <v>DI</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f>MASTER!BO495</f>
        <v>4</v>
      </c>
      <c r="W19" s="57" t="str">
        <f>MASTER!BP495</f>
        <v>DS</v>
      </c>
      <c r="X19" s="57" t="e">
        <f>MASTER!BQ495</f>
        <v>#VALUE!</v>
      </c>
      <c r="Y19" s="57" t="str">
        <f>MASTER!BR495</f>
        <v/>
      </c>
      <c r="Z19" s="57">
        <f>MASTER!BS495</f>
        <v>0</v>
      </c>
      <c r="AA19" t="str">
        <f>MASTER!H$6</f>
        <v>Arhitectură</v>
      </c>
      <c r="AB19">
        <f>MASTER!C$17</f>
        <v>10</v>
      </c>
      <c r="AC19" t="str">
        <f>MASTER!H$7</f>
        <v>Tendinţe, materiale şi tehnologii noi în arhitectura de interior</v>
      </c>
      <c r="AD19">
        <f>MASTER!A$17</f>
        <v>50</v>
      </c>
      <c r="AE19">
        <f>MASTER!B$17</f>
        <v>60</v>
      </c>
      <c r="AF19">
        <f>MASTER!D$17</f>
        <v>0</v>
      </c>
      <c r="AG19" t="str">
        <f>MASTER!BT495</f>
        <v>2022</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Arhitectură</v>
      </c>
      <c r="AB20">
        <f>MASTER!C$17</f>
        <v>10</v>
      </c>
      <c r="AC20" t="str">
        <f>MASTER!H$7</f>
        <v>Tendinţe, materiale şi tehnologii noi în arhitectura de interior</v>
      </c>
      <c r="AD20">
        <f>MASTER!A$17</f>
        <v>50</v>
      </c>
      <c r="AE20">
        <f>MASTER!B$17</f>
        <v>60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Arhitectură</v>
      </c>
      <c r="AB21">
        <f>MASTER!C$17</f>
        <v>10</v>
      </c>
      <c r="AC21" t="str">
        <f>MASTER!H$7</f>
        <v>Tendinţe, materiale şi tehnologii noi în arhitectura de interior</v>
      </c>
      <c r="AD21">
        <f>MASTER!A$17</f>
        <v>50</v>
      </c>
      <c r="AE21">
        <f>MASTER!B$17</f>
        <v>60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Arhitectură</v>
      </c>
      <c r="AB22">
        <f>MASTER!C$17</f>
        <v>10</v>
      </c>
      <c r="AC22" t="str">
        <f>MASTER!H$7</f>
        <v>Tendinţe, materiale şi tehnologii noi în arhitectura de interior</v>
      </c>
      <c r="AD22">
        <f>MASTER!A$17</f>
        <v>50</v>
      </c>
      <c r="AE22">
        <f>MASTER!B$17</f>
        <v>60</v>
      </c>
      <c r="AF22">
        <f>MASTER!D$17</f>
        <v>0</v>
      </c>
      <c r="AG22" t="str">
        <f>MASTER!BT498</f>
        <v/>
      </c>
    </row>
    <row r="23" spans="1:33" x14ac:dyDescent="0.2">
      <c r="A23" s="57" t="str">
        <f>MASTER!AT499</f>
        <v>M60.22.03.S1</v>
      </c>
      <c r="B23" s="57">
        <f>MASTER!AU499</f>
        <v>1</v>
      </c>
      <c r="C23" s="57" t="str">
        <f>MASTER!AV499</f>
        <v>Arhitectură de interior 3</v>
      </c>
      <c r="D23" s="57">
        <f>MASTER!AW499</f>
        <v>2</v>
      </c>
      <c r="E23" s="57" t="str">
        <f>MASTER!AX499</f>
        <v>3</v>
      </c>
      <c r="F23" s="57" t="str">
        <f>MASTER!AY499</f>
        <v>D</v>
      </c>
      <c r="G23" s="57" t="str">
        <f>MASTER!AZ499</f>
        <v>DI</v>
      </c>
      <c r="H23" s="57">
        <f>MASTER!BA499</f>
        <v>1</v>
      </c>
      <c r="I23" s="57">
        <f>MASTER!BB499</f>
        <v>3</v>
      </c>
      <c r="J23" s="57">
        <f>MASTER!BC499</f>
        <v>4</v>
      </c>
      <c r="K23" s="57">
        <f>MASTER!BD499</f>
        <v>14</v>
      </c>
      <c r="L23" s="57">
        <f>MASTER!BE499</f>
        <v>42</v>
      </c>
      <c r="M23" s="57">
        <f>MASTER!BF499</f>
        <v>56</v>
      </c>
      <c r="N23" s="57">
        <f>MASTER!BG499</f>
        <v>0</v>
      </c>
      <c r="O23" s="57" t="str">
        <f>MASTER!BH499</f>
        <v/>
      </c>
      <c r="P23" s="57">
        <f>MASTER!BI499</f>
        <v>0</v>
      </c>
      <c r="Q23" s="57">
        <f>MASTER!BJ499</f>
        <v>0</v>
      </c>
      <c r="R23" s="57" t="str">
        <f>MASTER!BK499</f>
        <v/>
      </c>
      <c r="S23" s="57">
        <f>MASTER!BL499</f>
        <v>0</v>
      </c>
      <c r="T23" s="57">
        <f>MASTER!BM499</f>
        <v>10.3</v>
      </c>
      <c r="U23" s="57">
        <f>MASTER!BN499</f>
        <v>144</v>
      </c>
      <c r="V23" s="57">
        <f>MASTER!BO499</f>
        <v>8</v>
      </c>
      <c r="W23" s="57" t="str">
        <f>MASTER!BP499</f>
        <v>DS</v>
      </c>
      <c r="X23" s="57">
        <f>MASTER!BQ499</f>
        <v>14.3</v>
      </c>
      <c r="Y23" s="57">
        <f>MASTER!BR499</f>
        <v>200</v>
      </c>
      <c r="Z23" s="57">
        <f>MASTER!BS499</f>
        <v>1</v>
      </c>
      <c r="AA23" t="str">
        <f>MASTER!H$6</f>
        <v>Arhitectură</v>
      </c>
      <c r="AB23">
        <f>MASTER!C$17</f>
        <v>10</v>
      </c>
      <c r="AC23" t="str">
        <f>MASTER!H$7</f>
        <v>Tendinţe, materiale şi tehnologii noi în arhitectura de interior</v>
      </c>
      <c r="AD23">
        <f>MASTER!A$17</f>
        <v>50</v>
      </c>
      <c r="AE23">
        <f>MASTER!B$17</f>
        <v>60</v>
      </c>
      <c r="AF23">
        <f>MASTER!D$17</f>
        <v>0</v>
      </c>
      <c r="AG23" t="str">
        <f>MASTER!BT499</f>
        <v>2023</v>
      </c>
    </row>
    <row r="24" spans="1:33" x14ac:dyDescent="0.2">
      <c r="A24" s="57" t="str">
        <f>MASTER!AT500</f>
        <v>M60.22.03.A2</v>
      </c>
      <c r="B24" s="57">
        <f>MASTER!AU500</f>
        <v>2</v>
      </c>
      <c r="C24" s="57" t="str">
        <f>MASTER!AV500</f>
        <v>Ambient istoric</v>
      </c>
      <c r="D24" s="57">
        <f>MASTER!AW500</f>
        <v>2</v>
      </c>
      <c r="E24" s="57" t="str">
        <f>MASTER!AX500</f>
        <v>1</v>
      </c>
      <c r="F24" s="57" t="str">
        <f>MASTER!AY500</f>
        <v>E</v>
      </c>
      <c r="G24" s="57" t="str">
        <f>MASTER!AZ500</f>
        <v>DI</v>
      </c>
      <c r="H24" s="57">
        <f>MASTER!BA500</f>
        <v>1</v>
      </c>
      <c r="I24" s="57">
        <f>MASTER!BB500</f>
        <v>1</v>
      </c>
      <c r="J24" s="57">
        <f>MASTER!BC500</f>
        <v>2</v>
      </c>
      <c r="K24" s="57">
        <f>MASTER!BD500</f>
        <v>14</v>
      </c>
      <c r="L24" s="57">
        <f>MASTER!BE500</f>
        <v>14</v>
      </c>
      <c r="M24" s="57">
        <f>MASTER!BF500</f>
        <v>28</v>
      </c>
      <c r="N24" s="57">
        <f>MASTER!BG500</f>
        <v>0</v>
      </c>
      <c r="O24" s="57" t="str">
        <f>MASTER!BH500</f>
        <v/>
      </c>
      <c r="P24" s="57">
        <f>MASTER!BI500</f>
        <v>0</v>
      </c>
      <c r="Q24" s="57">
        <f>MASTER!BJ500</f>
        <v>0</v>
      </c>
      <c r="R24" s="57" t="str">
        <f>MASTER!BK500</f>
        <v/>
      </c>
      <c r="S24" s="57">
        <f>MASTER!BL500</f>
        <v>0</v>
      </c>
      <c r="T24" s="57">
        <f>MASTER!BM500</f>
        <v>5.0999999999999996</v>
      </c>
      <c r="U24" s="57">
        <f>MASTER!BN500</f>
        <v>72</v>
      </c>
      <c r="V24" s="57">
        <f>MASTER!BO500</f>
        <v>4</v>
      </c>
      <c r="W24" s="57" t="str">
        <f>MASTER!BP500</f>
        <v>DA</v>
      </c>
      <c r="X24" s="57">
        <f>MASTER!BQ500</f>
        <v>7.1</v>
      </c>
      <c r="Y24" s="57">
        <f>MASTER!BR500</f>
        <v>100</v>
      </c>
      <c r="Z24" s="57">
        <f>MASTER!BS500</f>
        <v>1</v>
      </c>
      <c r="AA24" t="str">
        <f>MASTER!H$6</f>
        <v>Arhitectură</v>
      </c>
      <c r="AB24">
        <f>MASTER!C$17</f>
        <v>10</v>
      </c>
      <c r="AC24" t="str">
        <f>MASTER!H$7</f>
        <v>Tendinţe, materiale şi tehnologii noi în arhitectura de interior</v>
      </c>
      <c r="AD24">
        <f>MASTER!A$17</f>
        <v>50</v>
      </c>
      <c r="AE24">
        <f>MASTER!B$17</f>
        <v>60</v>
      </c>
      <c r="AF24">
        <f>MASTER!D$17</f>
        <v>0</v>
      </c>
      <c r="AG24" t="str">
        <f>MASTER!BT500</f>
        <v>2023</v>
      </c>
    </row>
    <row r="25" spans="1:33" x14ac:dyDescent="0.2">
      <c r="A25" s="57" t="str">
        <f>MASTER!AT501</f>
        <v>M60.22.03.A3</v>
      </c>
      <c r="B25" s="57">
        <f>MASTER!AU501</f>
        <v>3</v>
      </c>
      <c r="C25" s="57" t="str">
        <f>MASTER!AV501</f>
        <v>Ecodesign</v>
      </c>
      <c r="D25" s="57">
        <f>MASTER!AW501</f>
        <v>2</v>
      </c>
      <c r="E25" s="57" t="str">
        <f>MASTER!AX501</f>
        <v>1</v>
      </c>
      <c r="F25" s="57" t="str">
        <f>MASTER!AY501</f>
        <v>E</v>
      </c>
      <c r="G25" s="57" t="str">
        <f>MASTER!AZ501</f>
        <v>DI</v>
      </c>
      <c r="H25" s="57">
        <f>MASTER!BA501</f>
        <v>2</v>
      </c>
      <c r="I25" s="57">
        <f>MASTER!BB501</f>
        <v>1</v>
      </c>
      <c r="J25" s="57">
        <f>MASTER!BC501</f>
        <v>3</v>
      </c>
      <c r="K25" s="57">
        <f>MASTER!BD501</f>
        <v>28</v>
      </c>
      <c r="L25" s="57">
        <f>MASTER!BE501</f>
        <v>14</v>
      </c>
      <c r="M25" s="57">
        <f>MASTER!BF501</f>
        <v>42</v>
      </c>
      <c r="N25" s="57">
        <f>MASTER!BG501</f>
        <v>0</v>
      </c>
      <c r="O25" s="57" t="str">
        <f>MASTER!BH501</f>
        <v/>
      </c>
      <c r="P25" s="57">
        <f>MASTER!BI501</f>
        <v>0</v>
      </c>
      <c r="Q25" s="57">
        <f>MASTER!BJ501</f>
        <v>0</v>
      </c>
      <c r="R25" s="57" t="str">
        <f>MASTER!BK501</f>
        <v/>
      </c>
      <c r="S25" s="57">
        <f>MASTER!BL501</f>
        <v>0</v>
      </c>
      <c r="T25" s="57">
        <f>MASTER!BM501</f>
        <v>5.9</v>
      </c>
      <c r="U25" s="57">
        <f>MASTER!BN501</f>
        <v>83</v>
      </c>
      <c r="V25" s="57">
        <f>MASTER!BO501</f>
        <v>5</v>
      </c>
      <c r="W25" s="57" t="str">
        <f>MASTER!BP501</f>
        <v>DA</v>
      </c>
      <c r="X25" s="57">
        <f>MASTER!BQ501</f>
        <v>8.9</v>
      </c>
      <c r="Y25" s="57">
        <f>MASTER!BR501</f>
        <v>125</v>
      </c>
      <c r="Z25" s="57">
        <f>MASTER!BS501</f>
        <v>1</v>
      </c>
      <c r="AA25" t="str">
        <f>MASTER!H$6</f>
        <v>Arhitectură</v>
      </c>
      <c r="AB25">
        <f>MASTER!C$17</f>
        <v>10</v>
      </c>
      <c r="AC25" t="str">
        <f>MASTER!H$7</f>
        <v>Tendinţe, materiale şi tehnologii noi în arhitectura de interior</v>
      </c>
      <c r="AD25">
        <f>MASTER!A$17</f>
        <v>50</v>
      </c>
      <c r="AE25">
        <f>MASTER!B$17</f>
        <v>60</v>
      </c>
      <c r="AF25">
        <f>MASTER!D$17</f>
        <v>0</v>
      </c>
      <c r="AG25" t="str">
        <f>MASTER!BT501</f>
        <v>2023</v>
      </c>
    </row>
    <row r="26" spans="1:33" x14ac:dyDescent="0.2">
      <c r="A26" s="57" t="str">
        <f>MASTER!AT502</f>
        <v>M60.22.03.A4</v>
      </c>
      <c r="B26" s="57">
        <f>MASTER!AU502</f>
        <v>4</v>
      </c>
      <c r="C26" s="57" t="str">
        <f>MASTER!AV502</f>
        <v>Psihlologie ambientală</v>
      </c>
      <c r="D26" s="57">
        <f>MASTER!AW502</f>
        <v>2</v>
      </c>
      <c r="E26" s="57" t="str">
        <f>MASTER!AX502</f>
        <v>1</v>
      </c>
      <c r="F26" s="57" t="str">
        <f>MASTER!AY502</f>
        <v>D</v>
      </c>
      <c r="G26" s="57" t="str">
        <f>MASTER!AZ502</f>
        <v>DI</v>
      </c>
      <c r="H26" s="57">
        <f>MASTER!BA502</f>
        <v>2</v>
      </c>
      <c r="I26" s="57">
        <f>MASTER!BB502</f>
        <v>1</v>
      </c>
      <c r="J26" s="57">
        <f>MASTER!BC502</f>
        <v>3</v>
      </c>
      <c r="K26" s="57">
        <f>MASTER!BD502</f>
        <v>28</v>
      </c>
      <c r="L26" s="57">
        <f>MASTER!BE502</f>
        <v>14</v>
      </c>
      <c r="M26" s="57">
        <f>MASTER!BF502</f>
        <v>42</v>
      </c>
      <c r="N26" s="57">
        <f>MASTER!BG502</f>
        <v>0</v>
      </c>
      <c r="O26" s="57" t="str">
        <f>MASTER!BH502</f>
        <v/>
      </c>
      <c r="P26" s="57">
        <f>MASTER!BI502</f>
        <v>0</v>
      </c>
      <c r="Q26" s="57">
        <f>MASTER!BJ502</f>
        <v>0</v>
      </c>
      <c r="R26" s="57" t="str">
        <f>MASTER!BK502</f>
        <v/>
      </c>
      <c r="S26" s="57">
        <f>MASTER!BL502</f>
        <v>0</v>
      </c>
      <c r="T26" s="57">
        <f>MASTER!BM502</f>
        <v>5.9</v>
      </c>
      <c r="U26" s="57">
        <f>MASTER!BN502</f>
        <v>83</v>
      </c>
      <c r="V26" s="57">
        <f>MASTER!BO502</f>
        <v>5</v>
      </c>
      <c r="W26" s="57" t="str">
        <f>MASTER!BP502</f>
        <v>DA</v>
      </c>
      <c r="X26" s="57">
        <f>MASTER!BQ502</f>
        <v>8.9</v>
      </c>
      <c r="Y26" s="57">
        <f>MASTER!BR502</f>
        <v>125</v>
      </c>
      <c r="Z26" s="57">
        <f>MASTER!BS502</f>
        <v>1</v>
      </c>
      <c r="AA26" t="str">
        <f>MASTER!H$6</f>
        <v>Arhitectură</v>
      </c>
      <c r="AB26">
        <f>MASTER!C$17</f>
        <v>10</v>
      </c>
      <c r="AC26" t="str">
        <f>MASTER!H$7</f>
        <v>Tendinţe, materiale şi tehnologii noi în arhitectura de interior</v>
      </c>
      <c r="AD26">
        <f>MASTER!A$17</f>
        <v>50</v>
      </c>
      <c r="AE26">
        <f>MASTER!B$17</f>
        <v>60</v>
      </c>
      <c r="AF26">
        <f>MASTER!D$17</f>
        <v>0</v>
      </c>
      <c r="AG26" t="str">
        <f>MASTER!BT502</f>
        <v>2023</v>
      </c>
    </row>
    <row r="27" spans="1:33" x14ac:dyDescent="0.2">
      <c r="A27" s="57" t="str">
        <f>MASTER!AT503</f>
        <v>M60.22.03.S5-ij</v>
      </c>
      <c r="B27" s="57">
        <f>MASTER!AU503</f>
        <v>5</v>
      </c>
      <c r="C27" s="57" t="str">
        <f>MASTER!AV503</f>
        <v/>
      </c>
      <c r="D27" s="57" t="str">
        <f>MASTER!AW503</f>
        <v/>
      </c>
      <c r="E27" s="57" t="str">
        <f>MASTER!AX503</f>
        <v/>
      </c>
      <c r="F27" s="57" t="str">
        <f>MASTER!AY503</f>
        <v/>
      </c>
      <c r="G27" s="57" t="str">
        <f>MASTER!AZ503</f>
        <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t="str">
        <f>MASTER!BO503</f>
        <v/>
      </c>
      <c r="W27" s="57" t="str">
        <f>MASTER!BP503</f>
        <v>DS</v>
      </c>
      <c r="X27" s="57" t="str">
        <f>MASTER!BQ503</f>
        <v/>
      </c>
      <c r="Y27" s="57" t="str">
        <f>MASTER!BR503</f>
        <v/>
      </c>
      <c r="Z27" s="57">
        <f>MASTER!BS503</f>
        <v>0</v>
      </c>
      <c r="AA27" t="str">
        <f>MASTER!H$6</f>
        <v>Arhitectură</v>
      </c>
      <c r="AB27">
        <f>MASTER!C$17</f>
        <v>10</v>
      </c>
      <c r="AC27" t="str">
        <f>MASTER!H$7</f>
        <v>Tendinţe, materiale şi tehnologii noi în arhitectura de interior</v>
      </c>
      <c r="AD27">
        <f>MASTER!A$17</f>
        <v>50</v>
      </c>
      <c r="AE27">
        <f>MASTER!B$17</f>
        <v>60</v>
      </c>
      <c r="AF27">
        <f>MASTER!D$17</f>
        <v>0</v>
      </c>
      <c r="AG27" t="str">
        <f>MASTER!BT503</f>
        <v/>
      </c>
    </row>
    <row r="28" spans="1:33" x14ac:dyDescent="0.2">
      <c r="A28" s="57" t="str">
        <f>MASTER!AT504</f>
        <v>M60.22.03.S6-ij</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t="str">
        <f>MASTER!BP504</f>
        <v>DS</v>
      </c>
      <c r="X28" s="57" t="str">
        <f>MASTER!BQ504</f>
        <v/>
      </c>
      <c r="Y28" s="57" t="str">
        <f>MASTER!BR504</f>
        <v/>
      </c>
      <c r="Z28" s="57">
        <f>MASTER!BS504</f>
        <v>0</v>
      </c>
      <c r="AA28" t="str">
        <f>MASTER!H$6</f>
        <v>Arhitectură</v>
      </c>
      <c r="AB28">
        <f>MASTER!C$17</f>
        <v>10</v>
      </c>
      <c r="AC28" t="str">
        <f>MASTER!H$7</f>
        <v>Tendinţe, materiale şi tehnologii noi în arhitectura de interior</v>
      </c>
      <c r="AD28">
        <f>MASTER!A$17</f>
        <v>50</v>
      </c>
      <c r="AE28">
        <f>MASTER!B$17</f>
        <v>60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Arhitectură</v>
      </c>
      <c r="AB29">
        <f>MASTER!C$17</f>
        <v>10</v>
      </c>
      <c r="AC29" t="str">
        <f>MASTER!H$7</f>
        <v>Tendinţe, materiale şi tehnologii noi în arhitectura de interior</v>
      </c>
      <c r="AD29">
        <f>MASTER!A$17</f>
        <v>50</v>
      </c>
      <c r="AE29">
        <f>MASTER!B$17</f>
        <v>60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Arhitectură</v>
      </c>
      <c r="AB30">
        <f>MASTER!C$17</f>
        <v>10</v>
      </c>
      <c r="AC30" t="str">
        <f>MASTER!H$7</f>
        <v>Tendinţe, materiale şi tehnologii noi în arhitectura de interior</v>
      </c>
      <c r="AD30">
        <f>MASTER!A$17</f>
        <v>50</v>
      </c>
      <c r="AE30">
        <f>MASTER!B$17</f>
        <v>60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Arhitectură</v>
      </c>
      <c r="AB31">
        <f>MASTER!C$17</f>
        <v>10</v>
      </c>
      <c r="AC31" t="str">
        <f>MASTER!H$7</f>
        <v>Tendinţe, materiale şi tehnologii noi în arhitectura de interior</v>
      </c>
      <c r="AD31">
        <f>MASTER!A$17</f>
        <v>50</v>
      </c>
      <c r="AE31">
        <f>MASTER!B$17</f>
        <v>60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Arhitectură</v>
      </c>
      <c r="AB32">
        <f>MASTER!C$17</f>
        <v>10</v>
      </c>
      <c r="AC32" t="str">
        <f>MASTER!H$7</f>
        <v>Tendinţe, materiale şi tehnologii noi în arhitectura de interior</v>
      </c>
      <c r="AD32">
        <f>MASTER!A$17</f>
        <v>50</v>
      </c>
      <c r="AE32">
        <f>MASTER!B$17</f>
        <v>60</v>
      </c>
      <c r="AF32">
        <f>MASTER!D$17</f>
        <v>0</v>
      </c>
      <c r="AG32" t="str">
        <f>MASTER!BT508</f>
        <v/>
      </c>
    </row>
    <row r="33" spans="1:33" x14ac:dyDescent="0.2">
      <c r="A33" s="57" t="str">
        <f>MASTER!AT509</f>
        <v>M60.22.04.S1</v>
      </c>
      <c r="B33" s="57">
        <f>MASTER!AU509</f>
        <v>1</v>
      </c>
      <c r="C33" s="57" t="str">
        <f>MASTER!AV509</f>
        <v>Practică profesională 2</v>
      </c>
      <c r="D33" s="57">
        <f>MASTER!AW509</f>
        <v>2</v>
      </c>
      <c r="E33" s="57" t="str">
        <f>MASTER!AX509</f>
        <v>4</v>
      </c>
      <c r="F33" s="57" t="str">
        <f>MASTER!AY509</f>
        <v>D</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7.1</v>
      </c>
      <c r="Q33" s="57">
        <f>MASTER!BJ509</f>
        <v>0</v>
      </c>
      <c r="R33" s="57" t="str">
        <f>MASTER!BK509</f>
        <v/>
      </c>
      <c r="S33" s="57">
        <f>MASTER!BL509</f>
        <v>100</v>
      </c>
      <c r="T33" s="57">
        <f>MASTER!BM509</f>
        <v>0</v>
      </c>
      <c r="U33" s="57">
        <f>MASTER!BN509</f>
        <v>0</v>
      </c>
      <c r="V33" s="57">
        <f>MASTER!BO509</f>
        <v>4</v>
      </c>
      <c r="W33" s="57" t="str">
        <f>MASTER!BP509</f>
        <v>DS</v>
      </c>
      <c r="X33" s="57">
        <f>MASTER!BQ509</f>
        <v>7.1</v>
      </c>
      <c r="Y33" s="57">
        <f>MASTER!BR509</f>
        <v>0</v>
      </c>
      <c r="Z33" s="57">
        <f>MASTER!BS509</f>
        <v>0</v>
      </c>
      <c r="AA33" t="str">
        <f>MASTER!H$6</f>
        <v>Arhitectură</v>
      </c>
      <c r="AB33">
        <f>MASTER!C$17</f>
        <v>10</v>
      </c>
      <c r="AC33" t="str">
        <f>MASTER!H$7</f>
        <v>Tendinţe, materiale şi tehnologii noi în arhitectura de interior</v>
      </c>
      <c r="AD33">
        <f>MASTER!A$17</f>
        <v>50</v>
      </c>
      <c r="AE33">
        <f>MASTER!B$17</f>
        <v>60</v>
      </c>
      <c r="AF33">
        <f>MASTER!D$17</f>
        <v>0</v>
      </c>
      <c r="AG33" t="str">
        <f>MASTER!BT509</f>
        <v>2023</v>
      </c>
    </row>
    <row r="34" spans="1:33" x14ac:dyDescent="0.2">
      <c r="A34" s="57" t="str">
        <f>MASTER!AT510</f>
        <v>M60.22.04.C2</v>
      </c>
      <c r="B34" s="57">
        <f>MASTER!AU510</f>
        <v>2</v>
      </c>
      <c r="C34" s="57" t="str">
        <f>MASTER!AV510</f>
        <v xml:space="preserve">Etică şi integritate academică </v>
      </c>
      <c r="D34" s="57">
        <f>MASTER!AW510</f>
        <v>2</v>
      </c>
      <c r="E34" s="57" t="str">
        <f>MASTER!AX510</f>
        <v>4</v>
      </c>
      <c r="F34" s="57" t="str">
        <f>MASTER!AY510</f>
        <v>ED</v>
      </c>
      <c r="G34" s="57" t="str">
        <f>MASTER!AZ510</f>
        <v>DI</v>
      </c>
      <c r="H34" s="57">
        <f>MASTER!BA510</f>
        <v>1</v>
      </c>
      <c r="I34" s="57">
        <f>MASTER!BB510</f>
        <v>0.5</v>
      </c>
      <c r="J34" s="57">
        <f>MASTER!BC510</f>
        <v>1.5</v>
      </c>
      <c r="K34" s="57">
        <f>MASTER!BD510</f>
        <v>14</v>
      </c>
      <c r="L34" s="57">
        <f>MASTER!BE510</f>
        <v>7</v>
      </c>
      <c r="M34" s="57">
        <f>MASTER!BF510</f>
        <v>21</v>
      </c>
      <c r="N34" s="57">
        <f>MASTER!BG510</f>
        <v>0</v>
      </c>
      <c r="O34" s="57" t="str">
        <f>MASTER!BH510</f>
        <v/>
      </c>
      <c r="P34" s="57">
        <f>MASTER!BI510</f>
        <v>0</v>
      </c>
      <c r="Q34" s="57">
        <f>MASTER!BJ510</f>
        <v>0</v>
      </c>
      <c r="R34" s="57" t="str">
        <f>MASTER!BK510</f>
        <v/>
      </c>
      <c r="S34" s="57">
        <f>MASTER!BL510</f>
        <v>0</v>
      </c>
      <c r="T34" s="57">
        <f>MASTER!BM510</f>
        <v>2.1</v>
      </c>
      <c r="U34" s="57">
        <f>MASTER!BN510</f>
        <v>29</v>
      </c>
      <c r="V34" s="57">
        <f>MASTER!BO510</f>
        <v>2</v>
      </c>
      <c r="W34" s="57" t="str">
        <f>MASTER!BP510</f>
        <v>DC</v>
      </c>
      <c r="X34" s="57">
        <f>MASTER!BQ510</f>
        <v>3.6</v>
      </c>
      <c r="Y34" s="57">
        <f>MASTER!BR510</f>
        <v>0</v>
      </c>
      <c r="Z34" s="57">
        <f>MASTER!BS510</f>
        <v>1</v>
      </c>
      <c r="AA34" t="str">
        <f>MASTER!H$6</f>
        <v>Arhitectură</v>
      </c>
      <c r="AB34">
        <f>MASTER!C$17</f>
        <v>10</v>
      </c>
      <c r="AC34" t="str">
        <f>MASTER!H$7</f>
        <v>Tendinţe, materiale şi tehnologii noi în arhitectura de interior</v>
      </c>
      <c r="AD34">
        <f>MASTER!A$17</f>
        <v>50</v>
      </c>
      <c r="AE34">
        <f>MASTER!B$17</f>
        <v>60</v>
      </c>
      <c r="AF34">
        <f>MASTER!D$17</f>
        <v>0</v>
      </c>
      <c r="AG34" t="str">
        <f>MASTER!BT510</f>
        <v>2023</v>
      </c>
    </row>
    <row r="35" spans="1:33" x14ac:dyDescent="0.2">
      <c r="A35" s="57" t="str">
        <f>MASTER!AT511</f>
        <v>M60.22.04.A3</v>
      </c>
      <c r="B35" s="57">
        <f>MASTER!AU511</f>
        <v>3</v>
      </c>
      <c r="C35" s="57" t="str">
        <f>MASTER!AV511</f>
        <v>Cercetare indrumata</v>
      </c>
      <c r="D35" s="57">
        <f>MASTER!AW511</f>
        <v>2</v>
      </c>
      <c r="E35" s="57" t="str">
        <f>MASTER!AX511</f>
        <v>4</v>
      </c>
      <c r="F35" s="57" t="str">
        <f>MASTER!AY511</f>
        <v>D</v>
      </c>
      <c r="G35" s="57" t="str">
        <f>MASTER!AZ511</f>
        <v>DI</v>
      </c>
      <c r="H35" s="57">
        <f>MASTER!BA511</f>
        <v>0</v>
      </c>
      <c r="I35" s="57">
        <f>MASTER!BB511</f>
        <v>6</v>
      </c>
      <c r="J35" s="57">
        <f>MASTER!BC511</f>
        <v>6</v>
      </c>
      <c r="K35" s="57">
        <f>MASTER!BD511</f>
        <v>0</v>
      </c>
      <c r="L35" s="57">
        <f>MASTER!BE511</f>
        <v>84</v>
      </c>
      <c r="M35" s="57">
        <f>MASTER!BF511</f>
        <v>84</v>
      </c>
      <c r="N35" s="57">
        <f>MASTER!BG511</f>
        <v>0</v>
      </c>
      <c r="O35" s="57" t="str">
        <f>MASTER!BH511</f>
        <v/>
      </c>
      <c r="P35" s="57">
        <f>MASTER!BI511</f>
        <v>0</v>
      </c>
      <c r="Q35" s="57">
        <f>MASTER!BJ511</f>
        <v>0</v>
      </c>
      <c r="R35" s="57" t="str">
        <f>MASTER!BK511</f>
        <v/>
      </c>
      <c r="S35" s="57">
        <f>MASTER!BL511</f>
        <v>0</v>
      </c>
      <c r="T35" s="57">
        <f>MASTER!BM511</f>
        <v>11.9</v>
      </c>
      <c r="U35" s="57">
        <f>MASTER!BN511</f>
        <v>166</v>
      </c>
      <c r="V35" s="57">
        <f>MASTER!BO511</f>
        <v>10</v>
      </c>
      <c r="W35" s="57" t="str">
        <f>MASTER!BP511</f>
        <v>DA</v>
      </c>
      <c r="X35" s="57">
        <f>MASTER!BQ511</f>
        <v>17.899999999999999</v>
      </c>
      <c r="Y35" s="57">
        <f>MASTER!BR511</f>
        <v>0</v>
      </c>
      <c r="Z35" s="57">
        <f>MASTER!BS511</f>
        <v>1</v>
      </c>
      <c r="AA35" t="str">
        <f>MASTER!H$6</f>
        <v>Arhitectură</v>
      </c>
      <c r="AB35">
        <f>MASTER!C$17</f>
        <v>10</v>
      </c>
      <c r="AC35" t="str">
        <f>MASTER!H$7</f>
        <v>Tendinţe, materiale şi tehnologii noi în arhitectura de interior</v>
      </c>
      <c r="AD35">
        <f>MASTER!A$17</f>
        <v>50</v>
      </c>
      <c r="AE35">
        <f>MASTER!B$17</f>
        <v>60</v>
      </c>
      <c r="AF35">
        <f>MASTER!D$17</f>
        <v>0</v>
      </c>
      <c r="AG35" t="str">
        <f>MASTER!BT511</f>
        <v>2023</v>
      </c>
    </row>
    <row r="36" spans="1:33" x14ac:dyDescent="0.2">
      <c r="A36" s="57" t="str">
        <f>MASTER!AT512</f>
        <v>M60.22.04.S4</v>
      </c>
      <c r="B36" s="57">
        <f>MASTER!AU512</f>
        <v>4</v>
      </c>
      <c r="C36" s="57" t="str">
        <f>MASTER!AV512</f>
        <v>Elaborare lucrare de disertaţie</v>
      </c>
      <c r="D36" s="57">
        <f>MASTER!AW512</f>
        <v>2</v>
      </c>
      <c r="E36" s="57" t="str">
        <f>MASTER!AX512</f>
        <v>4</v>
      </c>
      <c r="F36" s="57" t="str">
        <f>MASTER!AY512</f>
        <v>E</v>
      </c>
      <c r="G36" s="57" t="str">
        <f>MASTER!AZ512</f>
        <v>DI</v>
      </c>
      <c r="H36" s="57">
        <f>MASTER!BA512</f>
        <v>0</v>
      </c>
      <c r="I36" s="57">
        <f>MASTER!BB512</f>
        <v>0</v>
      </c>
      <c r="J36" s="57">
        <f>MASTER!BC512</f>
        <v>0</v>
      </c>
      <c r="K36" s="57">
        <f>MASTER!BD512</f>
        <v>0</v>
      </c>
      <c r="L36" s="57">
        <f>MASTER!BE512</f>
        <v>0</v>
      </c>
      <c r="M36" s="57">
        <f>MASTER!BF512</f>
        <v>0</v>
      </c>
      <c r="N36" s="57">
        <f>MASTER!BG512</f>
        <v>0</v>
      </c>
      <c r="O36" s="57" t="str">
        <f>MASTER!BH512</f>
        <v/>
      </c>
      <c r="P36" s="57">
        <f>MASTER!BI512</f>
        <v>2</v>
      </c>
      <c r="Q36" s="57">
        <f>MASTER!BJ512</f>
        <v>0</v>
      </c>
      <c r="R36" s="57" t="str">
        <f>MASTER!BK512</f>
        <v/>
      </c>
      <c r="S36" s="57">
        <f>MASTER!BL512</f>
        <v>28</v>
      </c>
      <c r="T36" s="57">
        <f>MASTER!BM512</f>
        <v>23</v>
      </c>
      <c r="U36" s="57">
        <f>MASTER!BN512</f>
        <v>322</v>
      </c>
      <c r="V36" s="57">
        <f>MASTER!BO512</f>
        <v>14</v>
      </c>
      <c r="W36" s="57" t="str">
        <f>MASTER!BP512</f>
        <v>DS</v>
      </c>
      <c r="X36" s="57">
        <f>MASTER!BQ512</f>
        <v>25</v>
      </c>
      <c r="Y36" s="57">
        <f>MASTER!BR512</f>
        <v>0</v>
      </c>
      <c r="Z36" s="57">
        <f>MASTER!BS512</f>
        <v>0</v>
      </c>
      <c r="AA36" t="str">
        <f>MASTER!H$6</f>
        <v>Arhitectură</v>
      </c>
      <c r="AB36">
        <f>MASTER!C$17</f>
        <v>10</v>
      </c>
      <c r="AC36" t="str">
        <f>MASTER!H$7</f>
        <v>Tendinţe, materiale şi tehnologii noi în arhitectura de interior</v>
      </c>
      <c r="AD36">
        <f>MASTER!A$17</f>
        <v>50</v>
      </c>
      <c r="AE36">
        <f>MASTER!B$17</f>
        <v>60</v>
      </c>
      <c r="AF36">
        <f>MASTER!D$17</f>
        <v>0</v>
      </c>
      <c r="AG36" t="str">
        <f>MASTER!BT512</f>
        <v>2023</v>
      </c>
    </row>
    <row r="37" spans="1:33" x14ac:dyDescent="0.2">
      <c r="A37" s="57" t="str">
        <f>MASTER!AT513</f>
        <v>M60.22.04.S5</v>
      </c>
      <c r="B37" s="57">
        <f>MASTER!AU513</f>
        <v>5</v>
      </c>
      <c r="C37" s="57" t="str">
        <f>MASTER!AV513</f>
        <v xml:space="preserve">Examen de disertaţie                     </v>
      </c>
      <c r="D37" s="57">
        <f>MASTER!AW513</f>
        <v>2</v>
      </c>
      <c r="E37" s="57" t="str">
        <f>MASTER!AX513</f>
        <v>4</v>
      </c>
      <c r="F37" s="57" t="str">
        <f>MASTER!AY513</f>
        <v>E</v>
      </c>
      <c r="G37" s="57" t="str">
        <f>MASTER!AZ513</f>
        <v>DI</v>
      </c>
      <c r="H37" s="57">
        <f>MASTER!BA513</f>
        <v>0</v>
      </c>
      <c r="I37" s="57">
        <f>MASTER!BB513</f>
        <v>0</v>
      </c>
      <c r="J37" s="57">
        <f>MASTER!BC513</f>
        <v>0</v>
      </c>
      <c r="K37" s="57">
        <f>MASTER!BD513</f>
        <v>0</v>
      </c>
      <c r="L37" s="57">
        <f>MASTER!BE513</f>
        <v>0</v>
      </c>
      <c r="M37" s="57">
        <f>MASTER!BF513</f>
        <v>0</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f>MASTER!BO513</f>
        <v>10</v>
      </c>
      <c r="W37" s="57" t="str">
        <f>MASTER!BP513</f>
        <v>DS</v>
      </c>
      <c r="X37" s="57" t="e">
        <f>MASTER!BQ513</f>
        <v>#VALUE!</v>
      </c>
      <c r="Y37" s="57" t="str">
        <f>MASTER!BR513</f>
        <v/>
      </c>
      <c r="Z37" s="57">
        <f>MASTER!BS513</f>
        <v>0</v>
      </c>
      <c r="AA37" t="str">
        <f>MASTER!H$6</f>
        <v>Arhitectură</v>
      </c>
      <c r="AB37">
        <f>MASTER!C$17</f>
        <v>10</v>
      </c>
      <c r="AC37" t="str">
        <f>MASTER!H$7</f>
        <v>Tendinţe, materiale şi tehnologii noi în arhitectura de interior</v>
      </c>
      <c r="AD37">
        <f>MASTER!A$17</f>
        <v>50</v>
      </c>
      <c r="AE37">
        <f>MASTER!B$17</f>
        <v>60</v>
      </c>
      <c r="AF37">
        <f>MASTER!D$17</f>
        <v>0</v>
      </c>
      <c r="AG37" t="str">
        <f>MASTER!BT513</f>
        <v>2023</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t="str">
        <f>MASTER!BR514</f>
        <v/>
      </c>
      <c r="Z38" s="57">
        <f>MASTER!BS514</f>
        <v>0</v>
      </c>
      <c r="AA38" t="str">
        <f>MASTER!H$6</f>
        <v>Arhitectură</v>
      </c>
      <c r="AB38">
        <f>MASTER!C$17</f>
        <v>10</v>
      </c>
      <c r="AC38" t="str">
        <f>MASTER!H$7</f>
        <v>Tendinţe, materiale şi tehnologii noi în arhitectura de interior</v>
      </c>
      <c r="AD38">
        <f>MASTER!A$17</f>
        <v>50</v>
      </c>
      <c r="AE38">
        <f>MASTER!B$17</f>
        <v>60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Arhitectură</v>
      </c>
      <c r="AB39">
        <f>MASTER!C$17</f>
        <v>10</v>
      </c>
      <c r="AC39" t="str">
        <f>MASTER!H$7</f>
        <v>Tendinţe, materiale şi tehnologii noi în arhitectura de interior</v>
      </c>
      <c r="AD39">
        <f>MASTER!A$17</f>
        <v>50</v>
      </c>
      <c r="AE39">
        <f>MASTER!B$17</f>
        <v>60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Arhitectură</v>
      </c>
      <c r="AB40">
        <f>MASTER!C$17</f>
        <v>10</v>
      </c>
      <c r="AC40" t="str">
        <f>MASTER!H$7</f>
        <v>Tendinţe, materiale şi tehnologii noi în arhitectura de interior</v>
      </c>
      <c r="AD40">
        <f>MASTER!A$17</f>
        <v>50</v>
      </c>
      <c r="AE40">
        <f>MASTER!B$17</f>
        <v>60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Arhitectură</v>
      </c>
      <c r="AB41">
        <f>MASTER!C$17</f>
        <v>10</v>
      </c>
      <c r="AC41" t="str">
        <f>MASTER!H$7</f>
        <v>Tendinţe, materiale şi tehnologii noi în arhitectura de interior</v>
      </c>
      <c r="AD41">
        <f>MASTER!A$17</f>
        <v>50</v>
      </c>
      <c r="AE41">
        <f>MASTER!B$17</f>
        <v>60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Arhitectură</v>
      </c>
      <c r="AB42">
        <f>MASTER!C$17</f>
        <v>10</v>
      </c>
      <c r="AC42" t="str">
        <f>MASTER!H$7</f>
        <v>Tendinţe, materiale şi tehnologii noi în arhitectura de interior</v>
      </c>
      <c r="AD42">
        <f>MASTER!A$17</f>
        <v>50</v>
      </c>
      <c r="AE42">
        <f>MASTER!B$17</f>
        <v>60</v>
      </c>
      <c r="AF42">
        <f>MASTER!D$17</f>
        <v>0</v>
      </c>
      <c r="AG42" t="str">
        <f>MASTER!BT518</f>
        <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Arhitectură</v>
      </c>
      <c r="AB43">
        <f>MASTER!C$17</f>
        <v>10</v>
      </c>
      <c r="AC43" t="str">
        <f>MASTER!H$7</f>
        <v>Tendinţe, materiale şi tehnologii noi în arhitectura de interior</v>
      </c>
      <c r="AD43">
        <f>MASTER!A$17</f>
        <v>50</v>
      </c>
      <c r="AE43">
        <f>MASTER!B$17</f>
        <v>60</v>
      </c>
      <c r="AF43">
        <f>MASTER!D$17</f>
        <v>0</v>
      </c>
      <c r="AG43" t="str">
        <f>MASTER!BT519</f>
        <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Arhitectură</v>
      </c>
      <c r="AB44">
        <f>MASTER!C$17</f>
        <v>10</v>
      </c>
      <c r="AC44" t="str">
        <f>MASTER!H$7</f>
        <v>Tendinţe, materiale şi tehnologii noi în arhitectura de interior</v>
      </c>
      <c r="AD44">
        <f>MASTER!A$17</f>
        <v>50</v>
      </c>
      <c r="AE44">
        <f>MASTER!B$17</f>
        <v>60</v>
      </c>
      <c r="AF44">
        <f>MASTER!D$17</f>
        <v>0</v>
      </c>
      <c r="AG44" t="str">
        <f>MASTER!BT520</f>
        <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Arhitectură</v>
      </c>
      <c r="AB45">
        <f>MASTER!C$17</f>
        <v>10</v>
      </c>
      <c r="AC45" t="str">
        <f>MASTER!H$7</f>
        <v>Tendinţe, materiale şi tehnologii noi în arhitectura de interior</v>
      </c>
      <c r="AD45">
        <f>MASTER!A$17</f>
        <v>50</v>
      </c>
      <c r="AE45">
        <f>MASTER!B$17</f>
        <v>60</v>
      </c>
      <c r="AF45">
        <f>MASTER!D$17</f>
        <v>0</v>
      </c>
      <c r="AG45" t="e">
        <f>MASTER!BT521</f>
        <v>#VALUE!</v>
      </c>
    </row>
    <row r="46" spans="1:33" x14ac:dyDescent="0.2">
      <c r="A46" s="57" t="str">
        <f>MASTER!AT522</f>
        <v>M60.22.01.S5-01</v>
      </c>
      <c r="B46" s="57">
        <f>MASTER!AU522</f>
        <v>1</v>
      </c>
      <c r="C46" s="57" t="str">
        <f>MASTER!AV522</f>
        <v>Disciplină opțională 1. Noţiuni de detaliere tehnică CAD</v>
      </c>
      <c r="D46" s="57">
        <f>MASTER!AW522</f>
        <v>1</v>
      </c>
      <c r="E46" s="57" t="str">
        <f>MASTER!AX522</f>
        <v>1</v>
      </c>
      <c r="F46" s="57" t="str">
        <f>MASTER!AY522</f>
        <v>E</v>
      </c>
      <c r="G46" s="57" t="str">
        <f>MASTER!AZ522</f>
        <v>DO</v>
      </c>
      <c r="H46" s="57">
        <f>MASTER!BA522</f>
        <v>2</v>
      </c>
      <c r="I46" s="57">
        <f>MASTER!BB522</f>
        <v>0</v>
      </c>
      <c r="J46" s="57">
        <f>MASTER!BC522</f>
        <v>2</v>
      </c>
      <c r="K46" s="57">
        <f>MASTER!BD522</f>
        <v>28</v>
      </c>
      <c r="L46" s="57">
        <f>MASTER!BE522</f>
        <v>0</v>
      </c>
      <c r="M46" s="57">
        <f>MASTER!BF522</f>
        <v>28</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4</v>
      </c>
      <c r="W46" s="57">
        <f>MASTER!BP522</f>
        <v>0</v>
      </c>
      <c r="X46" s="57" t="e">
        <f>MASTER!BQ522</f>
        <v>#VALUE!</v>
      </c>
      <c r="Y46" s="57" t="e">
        <f>MASTER!BR522</f>
        <v>#VALUE!</v>
      </c>
      <c r="Z46" s="57">
        <f>MASTER!BS522</f>
        <v>0</v>
      </c>
      <c r="AA46" t="str">
        <f>MASTER!H$6</f>
        <v>Arhitectură</v>
      </c>
      <c r="AB46">
        <f>MASTER!C$17</f>
        <v>10</v>
      </c>
      <c r="AC46" t="str">
        <f>MASTER!H$7</f>
        <v>Tendinţe, materiale şi tehnologii noi în arhitectura de interior</v>
      </c>
      <c r="AD46">
        <f>MASTER!A$17</f>
        <v>50</v>
      </c>
      <c r="AE46">
        <f>MASTER!B$17</f>
        <v>60</v>
      </c>
      <c r="AF46">
        <f>MASTER!D$17</f>
        <v>0</v>
      </c>
      <c r="AG46" t="str">
        <f>MASTER!BT522</f>
        <v>2022</v>
      </c>
    </row>
    <row r="47" spans="1:33" x14ac:dyDescent="0.2">
      <c r="A47" s="57" t="str">
        <f>MASTER!AT523</f>
        <v>M60.22.01.S5-02</v>
      </c>
      <c r="B47" s="57">
        <f>MASTER!AU523</f>
        <v>2</v>
      </c>
      <c r="C47" s="57" t="str">
        <f>MASTER!AV523</f>
        <v>Disciplină opțională 1. Modelare 3D avansată și fabricație digitală</v>
      </c>
      <c r="D47" s="57">
        <f>MASTER!AW523</f>
        <v>1</v>
      </c>
      <c r="E47" s="57" t="str">
        <f>MASTER!AX523</f>
        <v>1</v>
      </c>
      <c r="F47" s="57" t="str">
        <f>MASTER!AY523</f>
        <v>E</v>
      </c>
      <c r="G47" s="57" t="str">
        <f>MASTER!AZ523</f>
        <v>DO</v>
      </c>
      <c r="H47" s="57">
        <f>MASTER!BA523</f>
        <v>2</v>
      </c>
      <c r="I47" s="57">
        <f>MASTER!BB523</f>
        <v>0</v>
      </c>
      <c r="J47" s="57">
        <f>MASTER!BC523</f>
        <v>2</v>
      </c>
      <c r="K47" s="57">
        <f>MASTER!BD523</f>
        <v>28</v>
      </c>
      <c r="L47" s="57">
        <f>MASTER!BE523</f>
        <v>0</v>
      </c>
      <c r="M47" s="57">
        <f>MASTER!BF523</f>
        <v>28</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4</v>
      </c>
      <c r="W47" s="57">
        <f>MASTER!BP523</f>
        <v>0</v>
      </c>
      <c r="X47" s="57" t="e">
        <f>MASTER!BQ523</f>
        <v>#VALUE!</v>
      </c>
      <c r="Y47" s="57" t="e">
        <f>MASTER!BR523</f>
        <v>#VALUE!</v>
      </c>
      <c r="Z47" s="57">
        <f>MASTER!BS523</f>
        <v>0</v>
      </c>
      <c r="AA47" t="str">
        <f>MASTER!H$6</f>
        <v>Arhitectură</v>
      </c>
      <c r="AB47">
        <f>MASTER!C$17</f>
        <v>10</v>
      </c>
      <c r="AC47" t="str">
        <f>MASTER!H$7</f>
        <v>Tendinţe, materiale şi tehnologii noi în arhitectura de interior</v>
      </c>
      <c r="AD47">
        <f>MASTER!A$17</f>
        <v>50</v>
      </c>
      <c r="AE47">
        <f>MASTER!B$17</f>
        <v>60</v>
      </c>
      <c r="AF47">
        <f>MASTER!D$17</f>
        <v>0</v>
      </c>
      <c r="AG47" t="str">
        <f>MASTER!BT523</f>
        <v>2022</v>
      </c>
    </row>
    <row r="48" spans="1:33" x14ac:dyDescent="0.2">
      <c r="A48" s="57" t="str">
        <f>MASTER!AT524</f>
        <v>M60.22.01.S5-03</v>
      </c>
      <c r="B48" s="57">
        <f>MASTER!AU524</f>
        <v>3</v>
      </c>
      <c r="C48" s="57" t="str">
        <f>MASTER!AV524</f>
        <v>Disciplină opțională 2. Intervenţii structurale şi nestructurale în arhitectura de interior</v>
      </c>
      <c r="D48" s="57">
        <f>MASTER!AW524</f>
        <v>1</v>
      </c>
      <c r="E48" s="57" t="str">
        <f>MASTER!AX524</f>
        <v>1</v>
      </c>
      <c r="F48" s="57" t="str">
        <f>MASTER!AY524</f>
        <v>E</v>
      </c>
      <c r="G48" s="57" t="str">
        <f>MASTER!AZ524</f>
        <v>DO</v>
      </c>
      <c r="H48" s="57">
        <f>MASTER!BA524</f>
        <v>2</v>
      </c>
      <c r="I48" s="57">
        <f>MASTER!BB524</f>
        <v>0</v>
      </c>
      <c r="J48" s="57">
        <f>MASTER!BC524</f>
        <v>2</v>
      </c>
      <c r="K48" s="57">
        <f>MASTER!BD524</f>
        <v>28</v>
      </c>
      <c r="L48" s="57">
        <f>MASTER!BE524</f>
        <v>0</v>
      </c>
      <c r="M48" s="57">
        <f>MASTER!BF524</f>
        <v>28</v>
      </c>
      <c r="N48" s="57">
        <f>MASTER!BG524</f>
        <v>0</v>
      </c>
      <c r="O48" s="57">
        <f>MASTER!BH524</f>
        <v>0</v>
      </c>
      <c r="P48" s="57">
        <f>MASTER!BI524</f>
        <v>0</v>
      </c>
      <c r="Q48" s="57">
        <f>MASTER!BJ524</f>
        <v>0</v>
      </c>
      <c r="R48" s="57">
        <f>MASTER!BK524</f>
        <v>0</v>
      </c>
      <c r="S48" s="57">
        <f>MASTER!BL524</f>
        <v>0</v>
      </c>
      <c r="T48" s="57" t="e">
        <f>MASTER!BM524</f>
        <v>#VALUE!</v>
      </c>
      <c r="U48" s="57" t="e">
        <f>MASTER!BN524</f>
        <v>#VALUE!</v>
      </c>
      <c r="V48" s="57">
        <f>MASTER!BO524</f>
        <v>4</v>
      </c>
      <c r="W48" s="57">
        <f>MASTER!BP524</f>
        <v>0</v>
      </c>
      <c r="X48" s="57" t="e">
        <f>MASTER!BQ524</f>
        <v>#VALUE!</v>
      </c>
      <c r="Y48" s="57" t="e">
        <f>MASTER!BR524</f>
        <v>#VALUE!</v>
      </c>
      <c r="Z48" s="57">
        <f>MASTER!BS524</f>
        <v>0</v>
      </c>
      <c r="AA48" t="str">
        <f>MASTER!H$6</f>
        <v>Arhitectură</v>
      </c>
      <c r="AB48">
        <f>MASTER!C$17</f>
        <v>10</v>
      </c>
      <c r="AC48" t="str">
        <f>MASTER!H$7</f>
        <v>Tendinţe, materiale şi tehnologii noi în arhitectura de interior</v>
      </c>
      <c r="AD48">
        <f>MASTER!A$17</f>
        <v>50</v>
      </c>
      <c r="AE48">
        <f>MASTER!B$17</f>
        <v>60</v>
      </c>
      <c r="AF48">
        <f>MASTER!D$17</f>
        <v>0</v>
      </c>
      <c r="AG48" t="str">
        <f>MASTER!BT524</f>
        <v>2022</v>
      </c>
    </row>
    <row r="49" spans="1:33" x14ac:dyDescent="0.2">
      <c r="A49" s="57" t="str">
        <f>MASTER!AT525</f>
        <v>M60.22.01.S5-04</v>
      </c>
      <c r="B49" s="57">
        <f>MASTER!AU525</f>
        <v>4</v>
      </c>
      <c r="C49" s="57" t="str">
        <f>MASTER!AV525</f>
        <v>Disciplină opțională 2. Estetica elementelor structurale în arhitectura de interior</v>
      </c>
      <c r="D49" s="57">
        <f>MASTER!AW525</f>
        <v>1</v>
      </c>
      <c r="E49" s="57" t="str">
        <f>MASTER!AX525</f>
        <v>1</v>
      </c>
      <c r="F49" s="57" t="str">
        <f>MASTER!AY525</f>
        <v>E</v>
      </c>
      <c r="G49" s="57" t="str">
        <f>MASTER!AZ525</f>
        <v>DO</v>
      </c>
      <c r="H49" s="57">
        <f>MASTER!BA525</f>
        <v>2</v>
      </c>
      <c r="I49" s="57">
        <f>MASTER!BB525</f>
        <v>0</v>
      </c>
      <c r="J49" s="57">
        <f>MASTER!BC525</f>
        <v>2</v>
      </c>
      <c r="K49" s="57">
        <f>MASTER!BD525</f>
        <v>28</v>
      </c>
      <c r="L49" s="57">
        <f>MASTER!BE525</f>
        <v>0</v>
      </c>
      <c r="M49" s="57">
        <f>MASTER!BF525</f>
        <v>28</v>
      </c>
      <c r="N49" s="57">
        <f>MASTER!BG525</f>
        <v>0</v>
      </c>
      <c r="O49" s="57">
        <f>MASTER!BH525</f>
        <v>0</v>
      </c>
      <c r="P49" s="57">
        <f>MASTER!BI525</f>
        <v>0</v>
      </c>
      <c r="Q49" s="57">
        <f>MASTER!BJ525</f>
        <v>0</v>
      </c>
      <c r="R49" s="57">
        <f>MASTER!BK525</f>
        <v>0</v>
      </c>
      <c r="S49" s="57">
        <f>MASTER!BL525</f>
        <v>0</v>
      </c>
      <c r="T49" s="57" t="e">
        <f>MASTER!BM525</f>
        <v>#VALUE!</v>
      </c>
      <c r="U49" s="57" t="e">
        <f>MASTER!BN525</f>
        <v>#VALUE!</v>
      </c>
      <c r="V49" s="57">
        <f>MASTER!BO525</f>
        <v>4</v>
      </c>
      <c r="W49" s="57">
        <f>MASTER!BP525</f>
        <v>0</v>
      </c>
      <c r="X49" s="57" t="e">
        <f>MASTER!BQ525</f>
        <v>#VALUE!</v>
      </c>
      <c r="Y49" s="57" t="e">
        <f>MASTER!BR525</f>
        <v>#VALUE!</v>
      </c>
      <c r="Z49" s="57">
        <f>MASTER!BS525</f>
        <v>0</v>
      </c>
      <c r="AA49" t="str">
        <f>MASTER!H$6</f>
        <v>Arhitectură</v>
      </c>
      <c r="AB49">
        <f>MASTER!C$17</f>
        <v>10</v>
      </c>
      <c r="AC49" t="str">
        <f>MASTER!H$7</f>
        <v>Tendinţe, materiale şi tehnologii noi în arhitectura de interior</v>
      </c>
      <c r="AD49">
        <f>MASTER!A$17</f>
        <v>50</v>
      </c>
      <c r="AE49">
        <f>MASTER!B$17</f>
        <v>60</v>
      </c>
      <c r="AF49">
        <f>MASTER!D$17</f>
        <v>0</v>
      </c>
      <c r="AG49" t="str">
        <f>MASTER!BT525</f>
        <v>2022</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Arhitectură</v>
      </c>
      <c r="AB50">
        <f>MASTER!C$17</f>
        <v>10</v>
      </c>
      <c r="AC50" t="str">
        <f>MASTER!H$7</f>
        <v>Tendinţe, materiale şi tehnologii noi în arhitectura de interior</v>
      </c>
      <c r="AD50">
        <f>MASTER!A$17</f>
        <v>50</v>
      </c>
      <c r="AE50">
        <f>MASTER!B$17</f>
        <v>60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Arhitectură</v>
      </c>
      <c r="AB51">
        <f>MASTER!C$17</f>
        <v>10</v>
      </c>
      <c r="AC51" t="str">
        <f>MASTER!H$7</f>
        <v>Tendinţe, materiale şi tehnologii noi în arhitectura de interior</v>
      </c>
      <c r="AD51">
        <f>MASTER!A$17</f>
        <v>50</v>
      </c>
      <c r="AE51">
        <f>MASTER!B$17</f>
        <v>60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Arhitectură</v>
      </c>
      <c r="AB52">
        <f>MASTER!C$17</f>
        <v>10</v>
      </c>
      <c r="AC52" t="str">
        <f>MASTER!H$7</f>
        <v>Tendinţe, materiale şi tehnologii noi în arhitectura de interior</v>
      </c>
      <c r="AD52">
        <f>MASTER!A$17</f>
        <v>50</v>
      </c>
      <c r="AE52">
        <f>MASTER!B$17</f>
        <v>60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Arhitectură</v>
      </c>
      <c r="AB53">
        <f>MASTER!C$17</f>
        <v>10</v>
      </c>
      <c r="AC53" t="str">
        <f>MASTER!H$7</f>
        <v>Tendinţe, materiale şi tehnologii noi în arhitectura de interior</v>
      </c>
      <c r="AD53">
        <f>MASTER!A$17</f>
        <v>50</v>
      </c>
      <c r="AE53">
        <f>MASTER!B$17</f>
        <v>60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Arhitectură</v>
      </c>
      <c r="AB54">
        <f>MASTER!C$17</f>
        <v>10</v>
      </c>
      <c r="AC54" t="str">
        <f>MASTER!H$7</f>
        <v>Tendinţe, materiale şi tehnologii noi în arhitectura de interior</v>
      </c>
      <c r="AD54">
        <f>MASTER!A$17</f>
        <v>50</v>
      </c>
      <c r="AE54">
        <f>MASTER!B$17</f>
        <v>60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Arhitectură</v>
      </c>
      <c r="AB55">
        <f>MASTER!C$17</f>
        <v>10</v>
      </c>
      <c r="AC55" t="str">
        <f>MASTER!H$7</f>
        <v>Tendinţe, materiale şi tehnologii noi în arhitectura de interior</v>
      </c>
      <c r="AD55">
        <f>MASTER!A$17</f>
        <v>50</v>
      </c>
      <c r="AE55">
        <f>MASTER!B$17</f>
        <v>60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Arhitectură</v>
      </c>
      <c r="AB56">
        <f>MASTER!C$17</f>
        <v>10</v>
      </c>
      <c r="AC56" t="str">
        <f>MASTER!H$7</f>
        <v>Tendinţe, materiale şi tehnologii noi în arhitectura de interior</v>
      </c>
      <c r="AD56">
        <f>MASTER!A$17</f>
        <v>50</v>
      </c>
      <c r="AE56">
        <f>MASTER!B$17</f>
        <v>60</v>
      </c>
      <c r="AF56">
        <f>MASTER!D$17</f>
        <v>0</v>
      </c>
      <c r="AG56" t="str">
        <f>MASTER!BT532</f>
        <v/>
      </c>
    </row>
    <row r="57" spans="1:33" x14ac:dyDescent="0.2">
      <c r="A57" s="57" t="str">
        <f>MASTER!AT533</f>
        <v>M60.22.02.S5-01</v>
      </c>
      <c r="B57" s="57">
        <f>MASTER!AU533</f>
        <v>1</v>
      </c>
      <c r="C57" s="57" t="str">
        <f>MASTER!AV533</f>
        <v>Disciplină opțională 3. Noţiuni de proiectare complexă asistată de calculator</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Arhitectură</v>
      </c>
      <c r="AB57">
        <f>MASTER!C$17</f>
        <v>10</v>
      </c>
      <c r="AC57" t="str">
        <f>MASTER!H$7</f>
        <v>Tendinţe, materiale şi tehnologii noi în arhitectura de interior</v>
      </c>
      <c r="AD57">
        <f>MASTER!A$17</f>
        <v>50</v>
      </c>
      <c r="AE57">
        <f>MASTER!B$17</f>
        <v>60</v>
      </c>
      <c r="AF57">
        <f>MASTER!D$17</f>
        <v>0</v>
      </c>
      <c r="AG57" t="str">
        <f>MASTER!BT533</f>
        <v>2022</v>
      </c>
    </row>
    <row r="58" spans="1:33" x14ac:dyDescent="0.2">
      <c r="A58" s="57" t="str">
        <f>MASTER!AT534</f>
        <v>M60.22.02.S5-02</v>
      </c>
      <c r="B58" s="57">
        <f>MASTER!AU534</f>
        <v>2</v>
      </c>
      <c r="C58" s="57" t="str">
        <f>MASTER!AV534</f>
        <v>Disciplină opțională 3. Devize și specificații tehnice  în proiecte de mobilier și amenajări interioare</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Arhitectură</v>
      </c>
      <c r="AB58">
        <f>MASTER!C$17</f>
        <v>10</v>
      </c>
      <c r="AC58" t="str">
        <f>MASTER!H$7</f>
        <v>Tendinţe, materiale şi tehnologii noi în arhitectura de interior</v>
      </c>
      <c r="AD58">
        <f>MASTER!A$17</f>
        <v>50</v>
      </c>
      <c r="AE58">
        <f>MASTER!B$17</f>
        <v>60</v>
      </c>
      <c r="AF58">
        <f>MASTER!D$17</f>
        <v>0</v>
      </c>
      <c r="AG58" t="str">
        <f>MASTER!BT534</f>
        <v>2022</v>
      </c>
    </row>
    <row r="59" spans="1:33" x14ac:dyDescent="0.2">
      <c r="A59" s="57" t="str">
        <f>MASTER!AT535</f>
        <v>M60.22.02.S5-03</v>
      </c>
      <c r="B59" s="57">
        <f>MASTER!AU535</f>
        <v>3</v>
      </c>
      <c r="C59" s="57" t="str">
        <f>MASTER!AV535</f>
        <v>Disciplină opțională 4. Detaliere mobilier contemporan</v>
      </c>
      <c r="D59" s="57">
        <f>MASTER!AW535</f>
        <v>1</v>
      </c>
      <c r="E59" s="57" t="str">
        <f>MASTER!AX535</f>
        <v>2</v>
      </c>
      <c r="F59" s="57">
        <f>MASTER!AY535</f>
        <v>0</v>
      </c>
      <c r="G59" s="57" t="str">
        <f>MASTER!AZ535</f>
        <v>DO</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CF={DA, DCAV, DS, DC}</v>
      </c>
      <c r="W59" s="57" t="str">
        <f>MASTER!BP535</f>
        <v/>
      </c>
      <c r="X59" s="57">
        <f>MASTER!BQ535</f>
        <v>0</v>
      </c>
      <c r="Y59" s="57">
        <f>MASTER!BR535</f>
        <v>0</v>
      </c>
      <c r="Z59" s="57">
        <f>MASTER!BS535</f>
        <v>0</v>
      </c>
      <c r="AA59" t="str">
        <f>MASTER!H$6</f>
        <v>Arhitectură</v>
      </c>
      <c r="AB59">
        <f>MASTER!C$17</f>
        <v>10</v>
      </c>
      <c r="AC59" t="str">
        <f>MASTER!H$7</f>
        <v>Tendinţe, materiale şi tehnologii noi în arhitectura de interior</v>
      </c>
      <c r="AD59">
        <f>MASTER!A$17</f>
        <v>50</v>
      </c>
      <c r="AE59">
        <f>MASTER!B$17</f>
        <v>60</v>
      </c>
      <c r="AF59">
        <f>MASTER!D$17</f>
        <v>0</v>
      </c>
      <c r="AG59" t="str">
        <f>MASTER!BT535</f>
        <v>2022</v>
      </c>
    </row>
    <row r="60" spans="1:33" x14ac:dyDescent="0.2">
      <c r="A60" s="57" t="str">
        <f>MASTER!AT536</f>
        <v>M60.22.02.S5-04</v>
      </c>
      <c r="B60" s="57">
        <f>MASTER!AU536</f>
        <v>4</v>
      </c>
      <c r="C60" s="57" t="str">
        <f>MASTER!AV536</f>
        <v>Disciplină opțională 4. Sisteme de echipare contemporană a mobilierului</v>
      </c>
      <c r="D60" s="57">
        <f>MASTER!AW536</f>
        <v>1</v>
      </c>
      <c r="E60" s="57" t="str">
        <f>MASTER!AX536</f>
        <v>2</v>
      </c>
      <c r="F60" s="57" t="str">
        <f>MASTER!AY536</f>
        <v>DS- disciplina de sinteza</v>
      </c>
      <c r="G60" s="57" t="str">
        <f>MASTER!AZ536</f>
        <v>DO</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f>MASTER!BO536</f>
        <v>0</v>
      </c>
      <c r="W60" s="57" t="str">
        <f>MASTER!BP536</f>
        <v/>
      </c>
      <c r="X60" s="57">
        <f>MASTER!BQ536</f>
        <v>0</v>
      </c>
      <c r="Y60" s="57">
        <f>MASTER!BR536</f>
        <v>0</v>
      </c>
      <c r="Z60" s="57">
        <f>MASTER!BS536</f>
        <v>0</v>
      </c>
      <c r="AA60" t="str">
        <f>MASTER!H$6</f>
        <v>Arhitectură</v>
      </c>
      <c r="AB60">
        <f>MASTER!C$17</f>
        <v>10</v>
      </c>
      <c r="AC60" t="str">
        <f>MASTER!H$7</f>
        <v>Tendinţe, materiale şi tehnologii noi în arhitectura de interior</v>
      </c>
      <c r="AD60">
        <f>MASTER!A$17</f>
        <v>50</v>
      </c>
      <c r="AE60">
        <f>MASTER!B$17</f>
        <v>60</v>
      </c>
      <c r="AF60">
        <f>MASTER!D$17</f>
        <v>0</v>
      </c>
      <c r="AG60" t="str">
        <f>MASTER!BT536</f>
        <v>2022</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t="str">
        <f>MASTER!H$6</f>
        <v>Arhitectură</v>
      </c>
      <c r="AB61">
        <f>MASTER!C$17</f>
        <v>10</v>
      </c>
      <c r="AC61" t="str">
        <f>MASTER!H$7</f>
        <v>Tendinţe, materiale şi tehnologii noi în arhitectura de interior</v>
      </c>
      <c r="AD61">
        <f>MASTER!A$17</f>
        <v>50</v>
      </c>
      <c r="AE61">
        <f>MASTER!B$17</f>
        <v>60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Arhitectură</v>
      </c>
      <c r="AB62">
        <f>MASTER!C$17</f>
        <v>10</v>
      </c>
      <c r="AC62" t="str">
        <f>MASTER!H$7</f>
        <v>Tendinţe, materiale şi tehnologii noi în arhitectura de interior</v>
      </c>
      <c r="AD62">
        <f>MASTER!A$17</f>
        <v>50</v>
      </c>
      <c r="AE62">
        <f>MASTER!B$17</f>
        <v>60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Arhitectură</v>
      </c>
      <c r="AB63">
        <f>MASTER!C$17</f>
        <v>10</v>
      </c>
      <c r="AC63" t="str">
        <f>MASTER!H$7</f>
        <v>Tendinţe, materiale şi tehnologii noi în arhitectura de interior</v>
      </c>
      <c r="AD63">
        <f>MASTER!A$17</f>
        <v>50</v>
      </c>
      <c r="AE63">
        <f>MASTER!B$17</f>
        <v>60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Arhitectură</v>
      </c>
      <c r="AB64">
        <f>MASTER!C$17</f>
        <v>10</v>
      </c>
      <c r="AC64" t="str">
        <f>MASTER!H$7</f>
        <v>Tendinţe, materiale şi tehnologii noi în arhitectura de interior</v>
      </c>
      <c r="AD64">
        <f>MASTER!A$17</f>
        <v>50</v>
      </c>
      <c r="AE64">
        <f>MASTER!B$17</f>
        <v>60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Arhitectură</v>
      </c>
      <c r="AB65">
        <f>MASTER!C$17</f>
        <v>10</v>
      </c>
      <c r="AC65" t="str">
        <f>MASTER!H$7</f>
        <v>Tendinţe, materiale şi tehnologii noi în arhitectura de interior</v>
      </c>
      <c r="AD65">
        <f>MASTER!A$17</f>
        <v>50</v>
      </c>
      <c r="AE65">
        <f>MASTER!B$17</f>
        <v>60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Arhitectură</v>
      </c>
      <c r="AB66">
        <f>MASTER!C$17</f>
        <v>10</v>
      </c>
      <c r="AC66" t="str">
        <f>MASTER!H$7</f>
        <v>Tendinţe, materiale şi tehnologii noi în arhitectura de interior</v>
      </c>
      <c r="AD66">
        <f>MASTER!A$17</f>
        <v>50</v>
      </c>
      <c r="AE66">
        <f>MASTER!B$17</f>
        <v>60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Arhitectură</v>
      </c>
      <c r="AB67">
        <f>MASTER!C$17</f>
        <v>10</v>
      </c>
      <c r="AC67" t="str">
        <f>MASTER!H$7</f>
        <v>Tendinţe, materiale şi tehnologii noi în arhitectura de interior</v>
      </c>
      <c r="AD67">
        <f>MASTER!A$17</f>
        <v>50</v>
      </c>
      <c r="AE67">
        <f>MASTER!B$17</f>
        <v>60</v>
      </c>
      <c r="AF67">
        <f>MASTER!D$17</f>
        <v>0</v>
      </c>
      <c r="AG67" t="str">
        <f>MASTER!BT543</f>
        <v/>
      </c>
    </row>
    <row r="68" spans="1:33" x14ac:dyDescent="0.2">
      <c r="A68" s="57" t="str">
        <f>MASTER!AT544</f>
        <v>M60.22.03.S5-01</v>
      </c>
      <c r="B68" s="57">
        <f>MASTER!AU544</f>
        <v>1</v>
      </c>
      <c r="C68" s="57" t="str">
        <f>MASTER!AV544</f>
        <v>Disciplină opțională 5. Metodologie și tehnici de cercetare în arhitectura de interior</v>
      </c>
      <c r="D68" s="57">
        <f>MASTER!AW544</f>
        <v>2</v>
      </c>
      <c r="E68" s="57" t="str">
        <f>MASTER!AX544</f>
        <v>3</v>
      </c>
      <c r="F68" s="57" t="str">
        <f>MASTER!AY544</f>
        <v>D</v>
      </c>
      <c r="G68" s="57" t="str">
        <f>MASTER!AZ544</f>
        <v>DO</v>
      </c>
      <c r="H68" s="57">
        <f>MASTER!BA544</f>
        <v>1</v>
      </c>
      <c r="I68" s="57">
        <f>MASTER!BB544</f>
        <v>1</v>
      </c>
      <c r="J68" s="57">
        <f>MASTER!BC544</f>
        <v>2</v>
      </c>
      <c r="K68" s="57">
        <f>MASTER!BD544</f>
        <v>14</v>
      </c>
      <c r="L68" s="57">
        <f>MASTER!BE544</f>
        <v>14</v>
      </c>
      <c r="M68" s="57">
        <f>MASTER!BF544</f>
        <v>28</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4</v>
      </c>
      <c r="W68" s="57">
        <f>MASTER!BP544</f>
        <v>0</v>
      </c>
      <c r="X68" s="57" t="e">
        <f>MASTER!BQ544</f>
        <v>#VALUE!</v>
      </c>
      <c r="Y68" s="57" t="e">
        <f>MASTER!BR544</f>
        <v>#VALUE!</v>
      </c>
      <c r="Z68" s="57">
        <f>MASTER!BS544</f>
        <v>0</v>
      </c>
      <c r="AA68" t="str">
        <f>MASTER!H$6</f>
        <v>Arhitectură</v>
      </c>
      <c r="AB68">
        <f>MASTER!C$17</f>
        <v>10</v>
      </c>
      <c r="AC68" t="str">
        <f>MASTER!H$7</f>
        <v>Tendinţe, materiale şi tehnologii noi în arhitectura de interior</v>
      </c>
      <c r="AD68">
        <f>MASTER!A$17</f>
        <v>50</v>
      </c>
      <c r="AE68">
        <f>MASTER!B$17</f>
        <v>60</v>
      </c>
      <c r="AF68">
        <f>MASTER!D$17</f>
        <v>0</v>
      </c>
      <c r="AG68" t="str">
        <f>MASTER!BT544</f>
        <v>2023</v>
      </c>
    </row>
    <row r="69" spans="1:33" x14ac:dyDescent="0.2">
      <c r="A69" s="57" t="str">
        <f>MASTER!AT545</f>
        <v>M60.22.03.S5-02</v>
      </c>
      <c r="B69" s="57">
        <f>MASTER!AU545</f>
        <v>2</v>
      </c>
      <c r="C69" s="57" t="str">
        <f>MASTER!AV545</f>
        <v>Disciplină opțională 5. Metode avansate de comunicare profesională</v>
      </c>
      <c r="D69" s="57">
        <f>MASTER!AW545</f>
        <v>2</v>
      </c>
      <c r="E69" s="57" t="str">
        <f>MASTER!AX545</f>
        <v>3</v>
      </c>
      <c r="F69" s="57" t="str">
        <f>MASTER!AY545</f>
        <v>D</v>
      </c>
      <c r="G69" s="57" t="str">
        <f>MASTER!AZ545</f>
        <v>DO</v>
      </c>
      <c r="H69" s="57">
        <f>MASTER!BA545</f>
        <v>1</v>
      </c>
      <c r="I69" s="57">
        <f>MASTER!BB545</f>
        <v>1</v>
      </c>
      <c r="J69" s="57">
        <f>MASTER!BC545</f>
        <v>2</v>
      </c>
      <c r="K69" s="57">
        <f>MASTER!BD545</f>
        <v>14</v>
      </c>
      <c r="L69" s="57">
        <f>MASTER!BE545</f>
        <v>14</v>
      </c>
      <c r="M69" s="57">
        <f>MASTER!BF545</f>
        <v>28</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4</v>
      </c>
      <c r="W69" s="57">
        <f>MASTER!BP545</f>
        <v>0</v>
      </c>
      <c r="X69" s="57" t="e">
        <f>MASTER!BQ545</f>
        <v>#VALUE!</v>
      </c>
      <c r="Y69" s="57" t="e">
        <f>MASTER!BR545</f>
        <v>#VALUE!</v>
      </c>
      <c r="Z69" s="57">
        <f>MASTER!BS545</f>
        <v>0</v>
      </c>
      <c r="AA69" t="str">
        <f>MASTER!H$6</f>
        <v>Arhitectură</v>
      </c>
      <c r="AB69">
        <f>MASTER!C$17</f>
        <v>10</v>
      </c>
      <c r="AC69" t="str">
        <f>MASTER!H$7</f>
        <v>Tendinţe, materiale şi tehnologii noi în arhitectura de interior</v>
      </c>
      <c r="AD69">
        <f>MASTER!A$17</f>
        <v>50</v>
      </c>
      <c r="AE69">
        <f>MASTER!B$17</f>
        <v>60</v>
      </c>
      <c r="AF69">
        <f>MASTER!D$17</f>
        <v>0</v>
      </c>
      <c r="AG69" t="str">
        <f>MASTER!BT545</f>
        <v>2023</v>
      </c>
    </row>
    <row r="70" spans="1:33" x14ac:dyDescent="0.2">
      <c r="A70" s="57" t="str">
        <f>MASTER!AT546</f>
        <v>M60.22.03.S5-03</v>
      </c>
      <c r="B70" s="57">
        <f>MASTER!AU546</f>
        <v>3</v>
      </c>
      <c r="C70" s="57" t="str">
        <f>MASTER!AV546</f>
        <v>Disciplină opțională 6.  Management economic</v>
      </c>
      <c r="D70" s="57">
        <f>MASTER!AW546</f>
        <v>2</v>
      </c>
      <c r="E70" s="57" t="str">
        <f>MASTER!AX546</f>
        <v>3</v>
      </c>
      <c r="F70" s="57" t="str">
        <f>MASTER!AY546</f>
        <v>D</v>
      </c>
      <c r="G70" s="57" t="str">
        <f>MASTER!AZ546</f>
        <v>DO</v>
      </c>
      <c r="H70" s="57">
        <f>MASTER!BA546</f>
        <v>1</v>
      </c>
      <c r="I70" s="57">
        <f>MASTER!BB546</f>
        <v>1</v>
      </c>
      <c r="J70" s="57">
        <f>MASTER!BC546</f>
        <v>2</v>
      </c>
      <c r="K70" s="57">
        <f>MASTER!BD546</f>
        <v>14</v>
      </c>
      <c r="L70" s="57">
        <f>MASTER!BE546</f>
        <v>14</v>
      </c>
      <c r="M70" s="57">
        <f>MASTER!BF546</f>
        <v>28</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4</v>
      </c>
      <c r="W70" s="57">
        <f>MASTER!BP546</f>
        <v>0</v>
      </c>
      <c r="X70" s="57" t="e">
        <f>MASTER!BQ546</f>
        <v>#VALUE!</v>
      </c>
      <c r="Y70" s="57" t="e">
        <f>MASTER!BR546</f>
        <v>#VALUE!</v>
      </c>
      <c r="Z70" s="57">
        <f>MASTER!BS546</f>
        <v>0</v>
      </c>
      <c r="AA70" t="str">
        <f>MASTER!H$6</f>
        <v>Arhitectură</v>
      </c>
      <c r="AB70">
        <f>MASTER!C$17</f>
        <v>10</v>
      </c>
      <c r="AC70" t="str">
        <f>MASTER!H$7</f>
        <v>Tendinţe, materiale şi tehnologii noi în arhitectura de interior</v>
      </c>
      <c r="AD70">
        <f>MASTER!A$17</f>
        <v>50</v>
      </c>
      <c r="AE70">
        <f>MASTER!B$17</f>
        <v>60</v>
      </c>
      <c r="AF70">
        <f>MASTER!D$17</f>
        <v>0</v>
      </c>
      <c r="AG70" t="str">
        <f>MASTER!BT546</f>
        <v>2023</v>
      </c>
    </row>
    <row r="71" spans="1:33" x14ac:dyDescent="0.2">
      <c r="A71" s="57" t="str">
        <f>MASTER!AT547</f>
        <v>M60.22.03.S5-04</v>
      </c>
      <c r="B71" s="57">
        <f>MASTER!AU547</f>
        <v>4</v>
      </c>
      <c r="C71" s="57" t="str">
        <f>MASTER!AV547</f>
        <v>Disciplină opțională 6. Eficiența economică și financiară a proiectelor de investiții</v>
      </c>
      <c r="D71" s="57">
        <f>MASTER!AW547</f>
        <v>2</v>
      </c>
      <c r="E71" s="57" t="str">
        <f>MASTER!AX547</f>
        <v>3</v>
      </c>
      <c r="F71" s="57" t="str">
        <f>MASTER!AY547</f>
        <v>D</v>
      </c>
      <c r="G71" s="57" t="str">
        <f>MASTER!AZ547</f>
        <v>DO</v>
      </c>
      <c r="H71" s="57">
        <f>MASTER!BA547</f>
        <v>1</v>
      </c>
      <c r="I71" s="57">
        <f>MASTER!BB547</f>
        <v>1</v>
      </c>
      <c r="J71" s="57">
        <f>MASTER!BC547</f>
        <v>2</v>
      </c>
      <c r="K71" s="57">
        <f>MASTER!BD547</f>
        <v>14</v>
      </c>
      <c r="L71" s="57">
        <f>MASTER!BE547</f>
        <v>14</v>
      </c>
      <c r="M71" s="57">
        <f>MASTER!BF547</f>
        <v>28</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4</v>
      </c>
      <c r="W71" s="57">
        <f>MASTER!BP547</f>
        <v>0</v>
      </c>
      <c r="X71" s="57" t="e">
        <f>MASTER!BQ547</f>
        <v>#VALUE!</v>
      </c>
      <c r="Y71" s="57" t="e">
        <f>MASTER!BR547</f>
        <v>#VALUE!</v>
      </c>
      <c r="Z71" s="57">
        <f>MASTER!BS547</f>
        <v>0</v>
      </c>
      <c r="AA71" t="str">
        <f>MASTER!H$6</f>
        <v>Arhitectură</v>
      </c>
      <c r="AB71">
        <f>MASTER!C$17</f>
        <v>10</v>
      </c>
      <c r="AC71" t="str">
        <f>MASTER!H$7</f>
        <v>Tendinţe, materiale şi tehnologii noi în arhitectura de interior</v>
      </c>
      <c r="AD71">
        <f>MASTER!A$17</f>
        <v>50</v>
      </c>
      <c r="AE71">
        <f>MASTER!B$17</f>
        <v>60</v>
      </c>
      <c r="AF71">
        <f>MASTER!D$17</f>
        <v>0</v>
      </c>
      <c r="AG71" t="str">
        <f>MASTER!BT547</f>
        <v>2023</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Arhitectură</v>
      </c>
      <c r="AB72">
        <f>MASTER!C$17</f>
        <v>10</v>
      </c>
      <c r="AC72" t="str">
        <f>MASTER!H$7</f>
        <v>Tendinţe, materiale şi tehnologii noi în arhitectura de interior</v>
      </c>
      <c r="AD72">
        <f>MASTER!A$17</f>
        <v>50</v>
      </c>
      <c r="AE72">
        <f>MASTER!B$17</f>
        <v>60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Arhitectură</v>
      </c>
      <c r="AB73">
        <f>MASTER!C$17</f>
        <v>10</v>
      </c>
      <c r="AC73" t="str">
        <f>MASTER!H$7</f>
        <v>Tendinţe, materiale şi tehnologii noi în arhitectura de interior</v>
      </c>
      <c r="AD73">
        <f>MASTER!A$17</f>
        <v>50</v>
      </c>
      <c r="AE73">
        <f>MASTER!B$17</f>
        <v>60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Arhitectură</v>
      </c>
      <c r="AB74">
        <f>MASTER!C$17</f>
        <v>10</v>
      </c>
      <c r="AC74" t="str">
        <f>MASTER!H$7</f>
        <v>Tendinţe, materiale şi tehnologii noi în arhitectura de interior</v>
      </c>
      <c r="AD74">
        <f>MASTER!A$17</f>
        <v>50</v>
      </c>
      <c r="AE74">
        <f>MASTER!B$17</f>
        <v>60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Arhitectură</v>
      </c>
      <c r="AB75">
        <f>MASTER!C$17</f>
        <v>10</v>
      </c>
      <c r="AC75" t="str">
        <f>MASTER!H$7</f>
        <v>Tendinţe, materiale şi tehnologii noi în arhitectura de interior</v>
      </c>
      <c r="AD75">
        <f>MASTER!A$17</f>
        <v>50</v>
      </c>
      <c r="AE75">
        <f>MASTER!B$17</f>
        <v>60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Arhitectură</v>
      </c>
      <c r="AB76">
        <f>MASTER!C$17</f>
        <v>10</v>
      </c>
      <c r="AC76" t="str">
        <f>MASTER!H$7</f>
        <v>Tendinţe, materiale şi tehnologii noi în arhitectura de interior</v>
      </c>
      <c r="AD76">
        <f>MASTER!A$17</f>
        <v>50</v>
      </c>
      <c r="AE76">
        <f>MASTER!B$17</f>
        <v>60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Arhitectură</v>
      </c>
      <c r="AB77">
        <f>MASTER!C$17</f>
        <v>10</v>
      </c>
      <c r="AC77" t="str">
        <f>MASTER!H$7</f>
        <v>Tendinţe, materiale şi tehnologii noi în arhitectura de interior</v>
      </c>
      <c r="AD77">
        <f>MASTER!A$17</f>
        <v>50</v>
      </c>
      <c r="AE77">
        <f>MASTER!B$17</f>
        <v>60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Arhitectură</v>
      </c>
      <c r="AB78">
        <f>MASTER!C$17</f>
        <v>10</v>
      </c>
      <c r="AC78" t="str">
        <f>MASTER!H$7</f>
        <v>Tendinţe, materiale şi tehnologii noi în arhitectura de interior</v>
      </c>
      <c r="AD78">
        <f>MASTER!A$17</f>
        <v>50</v>
      </c>
      <c r="AE78">
        <f>MASTER!B$17</f>
        <v>60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Arhitectură</v>
      </c>
      <c r="AB79">
        <f>MASTER!C$17</f>
        <v>10</v>
      </c>
      <c r="AC79" t="str">
        <f>MASTER!H$7</f>
        <v>Tendinţe, materiale şi tehnologii noi în arhitectura de interior</v>
      </c>
      <c r="AD79">
        <f>MASTER!A$17</f>
        <v>50</v>
      </c>
      <c r="AE79">
        <f>MASTER!B$17</f>
        <v>60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Arhitectură</v>
      </c>
      <c r="AB80">
        <f>MASTER!C$17</f>
        <v>10</v>
      </c>
      <c r="AC80" t="str">
        <f>MASTER!H$7</f>
        <v>Tendinţe, materiale şi tehnologii noi în arhitectura de interior</v>
      </c>
      <c r="AD80">
        <f>MASTER!A$17</f>
        <v>50</v>
      </c>
      <c r="AE80">
        <f>MASTER!B$17</f>
        <v>60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Arhitectură</v>
      </c>
      <c r="AB81">
        <f>MASTER!C$17</f>
        <v>10</v>
      </c>
      <c r="AC81" t="str">
        <f>MASTER!H$7</f>
        <v>Tendinţe, materiale şi tehnologii noi în arhitectura de interior</v>
      </c>
      <c r="AD81">
        <f>MASTER!A$17</f>
        <v>50</v>
      </c>
      <c r="AE81">
        <f>MASTER!B$17</f>
        <v>60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Arhitectură</v>
      </c>
      <c r="AB82">
        <f>MASTER!C$17</f>
        <v>10</v>
      </c>
      <c r="AC82" t="str">
        <f>MASTER!H$7</f>
        <v>Tendinţe, materiale şi tehnologii noi în arhitectura de interior</v>
      </c>
      <c r="AD82">
        <f>MASTER!A$17</f>
        <v>50</v>
      </c>
      <c r="AE82">
        <f>MASTER!B$17</f>
        <v>60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Arhitectură</v>
      </c>
      <c r="AB83">
        <f>MASTER!C$17</f>
        <v>10</v>
      </c>
      <c r="AC83" t="str">
        <f>MASTER!H$7</f>
        <v>Tendinţe, materiale şi tehnologii noi în arhitectura de interior</v>
      </c>
      <c r="AD83">
        <f>MASTER!A$17</f>
        <v>50</v>
      </c>
      <c r="AE83">
        <f>MASTER!B$17</f>
        <v>60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Arhitectură</v>
      </c>
      <c r="AB84">
        <f>MASTER!C$17</f>
        <v>10</v>
      </c>
      <c r="AC84" t="str">
        <f>MASTER!H$7</f>
        <v>Tendinţe, materiale şi tehnologii noi în arhitectura de interior</v>
      </c>
      <c r="AD84">
        <f>MASTER!A$17</f>
        <v>50</v>
      </c>
      <c r="AE84">
        <f>MASTER!B$17</f>
        <v>60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Arhitectură</v>
      </c>
      <c r="AB85">
        <f>MASTER!C$17</f>
        <v>10</v>
      </c>
      <c r="AC85" t="str">
        <f>MASTER!H$7</f>
        <v>Tendinţe, materiale şi tehnologii noi în arhitectura de interior</v>
      </c>
      <c r="AD85">
        <f>MASTER!A$17</f>
        <v>50</v>
      </c>
      <c r="AE85">
        <f>MASTER!B$17</f>
        <v>60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Arhitectură</v>
      </c>
      <c r="AB86">
        <f>MASTER!C$17</f>
        <v>10</v>
      </c>
      <c r="AC86" t="str">
        <f>MASTER!H$7</f>
        <v>Tendinţe, materiale şi tehnologii noi în arhitectura de interior</v>
      </c>
      <c r="AD86">
        <f>MASTER!A$17</f>
        <v>50</v>
      </c>
      <c r="AE86">
        <f>MASTER!B$17</f>
        <v>60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Arhitectură</v>
      </c>
      <c r="AB87">
        <f>MASTER!C$17</f>
        <v>10</v>
      </c>
      <c r="AC87" t="str">
        <f>MASTER!H$7</f>
        <v>Tendinţe, materiale şi tehnologii noi în arhitectura de interior</v>
      </c>
      <c r="AD87">
        <f>MASTER!A$17</f>
        <v>50</v>
      </c>
      <c r="AE87">
        <f>MASTER!B$17</f>
        <v>60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Arhitectură</v>
      </c>
      <c r="AB88">
        <f>MASTER!C$17</f>
        <v>10</v>
      </c>
      <c r="AC88" t="str">
        <f>MASTER!H$7</f>
        <v>Tendinţe, materiale şi tehnologii noi în arhitectura de interior</v>
      </c>
      <c r="AD88">
        <f>MASTER!A$17</f>
        <v>50</v>
      </c>
      <c r="AE88">
        <f>MASTER!B$17</f>
        <v>60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cp:lastModifiedBy>
  <cp:revision/>
  <cp:lastPrinted>2022-07-14T04:39:31Z</cp:lastPrinted>
  <dcterms:created xsi:type="dcterms:W3CDTF">2005-09-25T13:40:53Z</dcterms:created>
  <dcterms:modified xsi:type="dcterms:W3CDTF">2022-07-14T04:40:32Z</dcterms:modified>
</cp:coreProperties>
</file>