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840" yWindow="-45" windowWidth="22305" windowHeight="1311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H9" i="129" s="1"/>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F11" i="103" l="1"/>
  <c r="I9" i="129"/>
  <c r="I9" i="130"/>
  <c r="C104" i="82" s="1"/>
  <c r="J9" i="130"/>
  <c r="C105" i="82" s="1"/>
  <c r="H9" i="132"/>
  <c r="C109" i="82" s="1"/>
  <c r="I9" i="132"/>
  <c r="C108" i="82" s="1"/>
  <c r="I9" i="128"/>
  <c r="K9" i="128"/>
  <c r="M9" i="128"/>
  <c r="J9" i="128"/>
  <c r="L9" i="128"/>
  <c r="N9" i="128"/>
  <c r="C92" i="82"/>
  <c r="C91" i="82"/>
  <c r="C133"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I9" i="125"/>
  <c r="S226" i="25"/>
  <c r="S227" i="25"/>
  <c r="M229" i="25"/>
  <c r="R229"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s="1"/>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E9" i="129" s="1"/>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C95" i="82"/>
  <c r="C97" i="82"/>
  <c r="C90"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F20" i="104" s="1"/>
  <c r="I19" i="104"/>
  <c r="H19" i="104"/>
  <c r="G19" i="104"/>
  <c r="I18" i="104"/>
  <c r="H18" i="104"/>
  <c r="G18" i="104"/>
  <c r="F18" i="104" s="1"/>
  <c r="I17" i="104"/>
  <c r="H17" i="104"/>
  <c r="G17" i="104"/>
  <c r="F17" i="104" s="1"/>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F19" i="97" s="1"/>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32" i="90"/>
  <c r="E44"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E59" i="90" s="1"/>
  <c r="G60" i="90"/>
  <c r="E60" i="90" s="1"/>
  <c r="G61" i="90"/>
  <c r="E61" i="90" s="1"/>
  <c r="G62" i="90"/>
  <c r="E62" i="90" s="1"/>
  <c r="G63" i="90"/>
  <c r="E63" i="90" s="1"/>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E11" i="106" l="1"/>
  <c r="G11" i="102"/>
  <c r="F11" i="105"/>
  <c r="G11" i="111"/>
  <c r="K19" i="97"/>
  <c r="J19" i="97"/>
  <c r="L19" i="97"/>
  <c r="K18" i="97"/>
  <c r="L18" i="97"/>
  <c r="J18" i="97"/>
  <c r="K17" i="97"/>
  <c r="L17" i="97"/>
  <c r="J17" i="97"/>
  <c r="K16" i="97"/>
  <c r="J16" i="97"/>
  <c r="L16" i="97"/>
  <c r="K15" i="97"/>
  <c r="J15" i="97"/>
  <c r="L15" i="97"/>
  <c r="F11" i="110"/>
  <c r="E12" i="109"/>
  <c r="F11" i="109"/>
  <c r="F11" i="108"/>
  <c r="D15" i="108"/>
  <c r="D11" i="108" s="1"/>
  <c r="C147" i="82" s="1"/>
  <c r="D12" i="113"/>
  <c r="E11" i="113"/>
  <c r="N16" i="104"/>
  <c r="L16" i="104"/>
  <c r="J16" i="104"/>
  <c r="O16" i="104"/>
  <c r="M16" i="104"/>
  <c r="K16" i="104"/>
  <c r="N15" i="104"/>
  <c r="L15" i="104"/>
  <c r="J15" i="104"/>
  <c r="O15" i="104"/>
  <c r="M15" i="104"/>
  <c r="K15" i="104"/>
  <c r="O18" i="104"/>
  <c r="M18" i="104"/>
  <c r="K18" i="104"/>
  <c r="N18" i="104"/>
  <c r="L18" i="104"/>
  <c r="J18" i="104"/>
  <c r="F16" i="104"/>
  <c r="O17" i="104"/>
  <c r="M17" i="104"/>
  <c r="K17" i="104"/>
  <c r="N17" i="104"/>
  <c r="L17" i="104"/>
  <c r="J17" i="104"/>
  <c r="F15" i="104"/>
  <c r="M23" i="104"/>
  <c r="N23" i="104"/>
  <c r="J23" i="104"/>
  <c r="O23" i="104"/>
  <c r="K23" i="104"/>
  <c r="L23" i="104"/>
  <c r="F23" i="104"/>
  <c r="O22" i="104"/>
  <c r="N22" i="104"/>
  <c r="M22" i="104"/>
  <c r="L22" i="104"/>
  <c r="K22" i="104"/>
  <c r="J22" i="104"/>
  <c r="F22" i="104"/>
  <c r="M21" i="104"/>
  <c r="L21" i="104"/>
  <c r="O21" i="104"/>
  <c r="K21" i="104"/>
  <c r="N21" i="104"/>
  <c r="J21" i="104"/>
  <c r="F21" i="104"/>
  <c r="N20" i="104"/>
  <c r="L20" i="104"/>
  <c r="J20" i="104"/>
  <c r="O20" i="104"/>
  <c r="M20" i="104"/>
  <c r="K20" i="104"/>
  <c r="M19" i="104"/>
  <c r="N19" i="104"/>
  <c r="J19" i="104"/>
  <c r="O19" i="104"/>
  <c r="K19" i="104"/>
  <c r="L19" i="104"/>
  <c r="F19" i="104"/>
  <c r="G11" i="104"/>
  <c r="G11" i="101"/>
  <c r="F11" i="100"/>
  <c r="F12" i="98"/>
  <c r="G11" i="98"/>
  <c r="G11" i="97"/>
  <c r="H9" i="115"/>
  <c r="F11" i="94"/>
  <c r="C28" i="82" s="1"/>
  <c r="D11" i="96"/>
  <c r="C30" i="82" s="1"/>
  <c r="F11" i="98"/>
  <c r="C122"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K11" i="102" s="1"/>
  <c r="M12" i="102"/>
  <c r="L12" i="102"/>
  <c r="E12" i="105"/>
  <c r="J12" i="105"/>
  <c r="J11" i="105" s="1"/>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I11" i="105" l="1"/>
  <c r="L11" i="97"/>
  <c r="E11" i="105"/>
  <c r="C142" i="82" s="1"/>
  <c r="F11" i="104"/>
  <c r="C134" i="82" s="1"/>
  <c r="N11" i="104"/>
  <c r="K11" i="104"/>
  <c r="J11" i="104"/>
  <c r="M11" i="104"/>
  <c r="L11" i="104"/>
  <c r="O11" i="104"/>
  <c r="J11" i="102"/>
  <c r="L11" i="102"/>
  <c r="M11" i="102"/>
  <c r="J11" i="97"/>
  <c r="K11" i="97"/>
  <c r="D11" i="107"/>
  <c r="C146" i="82" s="1"/>
  <c r="D11" i="99"/>
  <c r="C123" i="82" s="1"/>
  <c r="E11" i="101"/>
  <c r="C125" i="82" s="1"/>
  <c r="D11" i="110"/>
  <c r="C149" i="82" s="1"/>
  <c r="D11" i="106"/>
  <c r="C145" i="82" s="1"/>
  <c r="E11" i="100"/>
  <c r="C124" i="82" s="1"/>
  <c r="F11" i="102"/>
  <c r="C126" i="82" s="1"/>
  <c r="F11" i="97"/>
  <c r="C118" i="82" s="1"/>
  <c r="C143" i="82"/>
  <c r="C14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T9" i="25" l="1"/>
  <c r="R9" i="25"/>
  <c r="C51" i="82" s="1"/>
  <c r="S9" i="25"/>
  <c r="C52" i="82" s="1"/>
  <c r="C50" i="82"/>
  <c r="C53"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11" i="19"/>
  <c r="L74"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s="1"/>
  <c r="P9" i="23" l="1"/>
  <c r="S9" i="24"/>
  <c r="C49" i="82" s="1"/>
  <c r="O9" i="23"/>
  <c r="S9" i="23"/>
  <c r="N9" i="23"/>
  <c r="R9" i="24"/>
  <c r="C48" i="82" s="1"/>
  <c r="I9" i="23"/>
  <c r="C43" i="82"/>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<sst xmlns="http://schemas.openxmlformats.org/spreadsheetml/2006/main" count="3562" uniqueCount="1464">
  <si>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</si>
  <si>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</si>
  <si>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</si>
  <si>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</si>
  <si>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</si>
  <si>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</si>
  <si>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</si>
  <si>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</si>
  <si>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</si>
  <si>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</si>
  <si>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</si>
  <si>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</si>
  <si>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</si>
  <si>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</si>
  <si>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</si>
  <si>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</si>
  <si>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</si>
  <si>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</si>
  <si>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</si>
  <si>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</si>
  <si>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</si>
  <si>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</si>
  <si>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</si>
  <si>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</si>
  <si>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</si>
  <si>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</si>
  <si>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</si>
  <si>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</si>
  <si>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</si>
  <si>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</si>
  <si>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</si>
  <si>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</si>
  <si>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</si>
  <si>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</si>
  <si>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</si>
  <si>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</si>
  <si>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</si>
  <si>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</si>
  <si>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</si>
  <si>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</si>
  <si>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</si>
  <si>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</si>
  <si>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</si>
  <si>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</si>
  <si>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</si>
  <si>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</si>
  <si>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</si>
  <si>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</si>
  <si>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</si>
  <si>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</si>
  <si>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</si>
  <si>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</si>
  <si>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</si>
  <si>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</si>
  <si>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</si>
  <si>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</si>
  <si>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</si>
  <si>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</si>
  <si>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</si>
  <si>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</si>
  <si>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</si>
  <si>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</si>
  <si>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</si>
  <si>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</si>
  <si>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</si>
  <si>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</si>
  <si>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</si>
  <si>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</si>
  <si>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</si>
  <si>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</si>
  <si>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</si>
  <si>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</si>
  <si>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</si>
  <si>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</si>
  <si>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</si>
  <si>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</si>
  <si>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</si>
  <si>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</si>
  <si>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</si>
  <si>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</si>
  <si>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</si>
  <si>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</si>
  <si>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</si>
  <si>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</si>
  <si>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</si>
  <si>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</si>
  <si>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</si>
  <si>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</si>
  <si>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</si>
  <si>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</si>
  <si>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</si>
  <si>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</si>
  <si>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</si>
  <si>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</si>
  <si>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</si>
  <si>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</si>
  <si>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</si>
  <si>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</si>
  <si>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</si>
  <si>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</si>
  <si>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</si>
  <si>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</si>
  <si>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</si>
  <si>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</si>
  <si>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</si>
  <si>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</si>
  <si>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</si>
  <si>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</si>
  <si>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</si>
  <si>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</si>
  <si>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</si>
  <si>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</si>
  <si>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</si>
  <si>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</si>
  <si>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</si>
  <si>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</si>
  <si>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</si>
  <si>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</si>
  <si>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</si>
  <si>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</si>
  <si>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</si>
  <si>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</si>
  <si>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</si>
  <si>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</si>
  <si>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</si>
  <si>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</si>
  <si>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</si>
  <si>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</si>
  <si>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</si>
  <si>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</si>
  <si>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</si>
  <si>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</si>
  <si>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</si>
  <si>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</si>
  <si>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</si>
  <si>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</si>
  <si>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</si>
  <si>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</si>
  <si>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</si>
  <si>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</si>
  <si>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</si>
  <si>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</si>
  <si>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</si>
  <si>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</si>
  <si>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</si>
  <si>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</si>
  <si>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</si>
  <si>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</si>
  <si>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</si>
  <si>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</si>
  <si>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</si>
  <si>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</si>
  <si>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</si>
  <si>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</si>
  <si>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</si>
  <si>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</si>
  <si>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</si>
  <si>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</si>
  <si>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</si>
  <si>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</si>
  <si>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</si>
  <si>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</si>
  <si>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</si>
  <si>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</si>
  <si>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</si>
  <si>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</si>
  <si>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</si>
  <si>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</si>
  <si>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</si>
  <si>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</si>
  <si>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</si>
  <si>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</si>
  <si>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</si>
  <si>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</si>
  <si>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</si>
  <si>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</si>
  <si>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</si>
  <si>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</si>
  <si>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</si>
  <si>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</si>
  <si>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</si>
  <si>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</si>
  <si>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</si>
  <si>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</si>
  <si>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</si>
  <si>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</si>
  <si>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</si>
  <si>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</si>
  <si>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</si>
  <si>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</si>
  <si>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</si>
  <si>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</si>
  <si>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</si>
  <si>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</si>
  <si>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</si>
  <si>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</si>
  <si>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</si>
  <si>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</si>
  <si>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</si>
  <si>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</si>
  <si>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</si>
  <si>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</si>
  <si>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</si>
  <si>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</si>
  <si>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</si>
  <si>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</si>
  <si>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</si>
  <si>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</si>
  <si>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</si>
  <si>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</si>
  <si>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</si>
  <si>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</si>
  <si>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</si>
  <si>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</si>
  <si>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</si>
  <si>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</si>
  <si>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</si>
  <si>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</si>
  <si>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</si>
  <si>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</si>
  <si>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</si>
  <si>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</si>
  <si>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</si>
  <si>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</si>
  <si>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</si>
  <si>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</si>
  <si>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</si>
  <si>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</si>
  <si>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</si>
  <si>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</si>
  <si>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</si>
  <si>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</si>
  <si>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</si>
  <si>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</si>
  <si>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</si>
  <si>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</si>
  <si>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</si>
  <si>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</si>
  <si>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</si>
  <si>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</si>
  <si>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</si>
  <si>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</si>
  <si>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</si>
  <si>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</si>
  <si>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</si>
  <si>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</si>
  <si>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</si>
  <si>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</si>
  <si>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</si>
  <si>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</si>
  <si>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</si>
  <si>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</si>
  <si>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</si>
  <si>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</si>
  <si>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</si>
  <si>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</si>
  <si>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</si>
  <si>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</si>
  <si>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</si>
  <si>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</si>
  <si>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</si>
  <si>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</si>
  <si>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</si>
  <si>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</si>
  <si>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</si>
  <si>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</si>
  <si>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</si>
  <si>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</si>
  <si>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</si>
  <si>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</si>
  <si>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</si>
  <si>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</si>
  <si>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</si>
  <si>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</si>
  <si>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</si>
  <si>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</si>
  <si>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</si>
  <si>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</si>
  <si>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</si>
  <si>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</si>
  <si>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</si>
  <si>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</si>
  <si>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</si>
  <si>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</si>
  <si>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</si>
  <si>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</si>
  <si>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</si>
  <si>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</si>
  <si>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</si>
  <si>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</si>
  <si>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</si>
  <si>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</si>
  <si>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</si>
  <si>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</si>
  <si>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</si>
  <si>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</si>
  <si>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</si>
  <si>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</si>
  <si>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</si>
  <si>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</si>
  <si>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</si>
  <si>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</si>
  <si>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</si>
  <si>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</si>
  <si>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</si>
  <si>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</si>
  <si>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</si>
  <si>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</si>
  <si>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</si>
  <si>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</si>
  <si>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</si>
  <si>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</si>
  <si>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</si>
  <si>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</si>
  <si>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</si>
  <si>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</si>
  <si>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</si>
  <si>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</si>
  <si>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</si>
  <si>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</si>
  <si>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</si>
  <si>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</si>
  <si>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</si>
  <si>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</si>
  <si>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</si>
  <si>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</si>
  <si>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</si>
  <si>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</si>
  <si>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</si>
  <si>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</si>
  <si>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</si>
  <si>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</si>
  <si>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</si>
  <si>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</si>
  <si>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</si>
  <si>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</si>
  <si>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</si>
  <si>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</si>
  <si>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</si>
  <si>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</si>
  <si>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</si>
  <si>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</si>
  <si>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</si>
  <si>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</si>
  <si>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</si>
  <si>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</si>
  <si>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</si>
  <si>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</si>
  <si>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</si>
  <si>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</si>
  <si>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</si>
  <si>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</si>
  <si>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</si>
  <si>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</si>
  <si>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</si>
  <si>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</si>
  <si>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</si>
  <si>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</si>
  <si>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</si>
  <si>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</si>
  <si>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</si>
  <si>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</si>
  <si>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</si>
  <si>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</si>
  <si>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</si>
  <si>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</si>
  <si>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</si>
  <si>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</si>
  <si>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</si>
  <si>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</si>
  <si>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</si>
  <si>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</si>
  <si>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</si>
  <si>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</si>
  <si>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</si>
  <si>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</si>
  <si>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</si>
  <si>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</si>
  <si>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</si>
  <si>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</si>
  <si>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</si>
  <si>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</si>
  <si>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</si>
  <si>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</si>
  <si>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</si>
  <si>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</si>
  <si>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</si>
  <si>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</si>
  <si>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</si>
  <si>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</si>
  <si>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</si>
  <si>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</si>
  <si>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</si>
  <si>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</si>
  <si>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</si>
  <si>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</si>
  <si>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</si>
  <si>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</si>
  <si>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</si>
  <si>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</si>
  <si>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</si>
  <si>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</si>
  <si>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</si>
  <si>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</si>
  <si>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</si>
  <si>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</si>
  <si>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</si>
  <si>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</si>
  <si>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</si>
  <si>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</si>
  <si>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</si>
  <si>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</si>
  <si>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</si>
  <si>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</si>
  <si>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</si>
  <si>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</si>
  <si>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</si>
  <si>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</si>
  <si>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</si>
  <si>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</si>
  <si>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</si>
  <si>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</si>
  <si>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</si>
  <si>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</si>
  <si>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</si>
  <si>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</si>
  <si>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</si>
  <si>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</si>
  <si>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</si>
  <si>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</si>
  <si>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</si>
  <si>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</si>
  <si>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</si>
  <si>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</si>
  <si>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</si>
  <si>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</si>
  <si>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</si>
  <si>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</si>
  <si>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</si>
  <si>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</si>
  <si>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</si>
  <si>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</si>
  <si>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</si>
  <si>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</si>
  <si>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</si>
  <si>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</si>
  <si>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</si>
  <si>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</si>
  <si>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</si>
  <si>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</si>
  <si>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</si>
  <si>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</si>
  <si>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</si>
  <si>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</si>
  <si>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</si>
  <si>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</si>
  <si>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</si>
  <si>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</si>
  <si>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</si>
  <si>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</si>
  <si>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</si>
  <si>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</si>
  <si>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</si>
  <si>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</si>
  <si>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</si>
  <si>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</si>
  <si>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</si>
  <si>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</si>
  <si>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</si>
  <si>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</si>
  <si>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</si>
  <si>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</si>
  <si>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</si>
  <si>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</si>
  <si>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</si>
  <si>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</si>
  <si>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</si>
  <si>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</si>
  <si>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</si>
  <si>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</si>
  <si>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</si>
  <si>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</si>
  <si>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</si>
  <si>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</si>
  <si>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</si>
  <si>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</si>
  <si>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</si>
  <si>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</si>
  <si>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</si>
  <si>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</si>
  <si>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</si>
  <si>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</si>
  <si>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</si>
  <si>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</si>
  <si>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</si>
  <si>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</si>
  <si>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</si>
  <si>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</si>
  <si>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</si>
  <si>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</si>
  <si>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</si>
  <si>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</si>
  <si>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</si>
  <si>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</si>
  <si>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</si>
  <si>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</si>
  <si>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</si>
  <si>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</si>
  <si>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</si>
  <si>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</si>
  <si>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</si>
  <si>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</si>
  <si>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</si>
  <si>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</si>
  <si>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</si>
  <si>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</si>
  <si>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</si>
  <si>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</si>
  <si>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</si>
  <si>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</si>
  <si>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</si>
  <si>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</si>
  <si>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</si>
  <si>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</si>
  <si>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</si>
  <si>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</si>
  <si>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</si>
  <si>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</si>
  <si>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</si>
  <si>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</si>
  <si>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</si>
  <si>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</si>
  <si>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</si>
  <si>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</si>
  <si>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</si>
  <si>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</si>
  <si>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</si>
  <si>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</si>
  <si>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</si>
  <si>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</si>
  <si>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</si>
  <si>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</si>
  <si>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</si>
  <si>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</si>
  <si>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</si>
  <si>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</si>
  <si>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</si>
  <si>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</si>
  <si>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</si>
  <si>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</si>
  <si>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</si>
  <si>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</si>
  <si>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</si>
  <si>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</si>
  <si>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</si>
  <si>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</si>
  <si>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</si>
  <si>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</si>
  <si>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</si>
  <si>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</si>
  <si>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</si>
  <si>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</si>
  <si>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</si>
  <si>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</si>
  <si>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</si>
  <si>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</si>
  <si>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</si>
  <si>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</si>
  <si>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</si>
  <si>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</si>
  <si>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</si>
  <si>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</si>
  <si>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</si>
  <si>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</si>
  <si>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</si>
  <si>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</si>
  <si>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</si>
  <si>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</si>
  <si>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</si>
  <si>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</si>
  <si>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</si>
  <si>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</si>
  <si>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</si>
  <si>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</si>
  <si>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</si>
  <si>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</si>
  <si>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</si>
  <si>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</si>
  <si>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</si>
  <si>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</si>
  <si>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</si>
  <si>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</si>
  <si>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</si>
  <si>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</si>
  <si>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</si>
  <si>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</si>
  <si>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</si>
  <si>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</si>
  <si>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</si>
  <si>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</si>
  <si>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</si>
  <si>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</si>
  <si>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</si>
  <si>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</si>
  <si>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</si>
  <si>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</si>
  <si>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</si>
  <si>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</si>
  <si>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</si>
  <si>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</si>
  <si>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</si>
  <si>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</si>
  <si>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</si>
  <si>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</si>
  <si>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</si>
  <si>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</si>
  <si>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</si>
  <si>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</si>
  <si>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</si>
  <si>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</si>
  <si>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</si>
  <si>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</si>
  <si>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</si>
  <si>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</si>
  <si>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</si>
  <si>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</si>
  <si>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</si>
  <si>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</si>
  <si>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</si>
  <si>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</si>
  <si>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</si>
  <si>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</si>
  <si>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</si>
  <si>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</si>
  <si>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</si>
  <si>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</si>
  <si>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</si>
  <si>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</si>
  <si>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</si>
  <si>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</si>
  <si>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</si>
  <si>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</si>
  <si>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</si>
  <si>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</si>
  <si>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</si>
  <si>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</si>
  <si>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</si>
  <si>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</si>
  <si>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</si>
  <si>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</si>
  <si>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</si>
  <si>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</si>
  <si>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</si>
  <si>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</si>
  <si>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</si>
  <si>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</si>
  <si>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</si>
  <si>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</si>
  <si>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</si>
  <si>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</si>
  <si>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</si>
  <si>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</si>
  <si>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</si>
  <si>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</si>
  <si>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</si>
  <si>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</si>
  <si>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</si>
  <si>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</si>
  <si>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</si>
  <si>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</si>
  <si>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</si>
  <si>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</si>
  <si>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</si>
  <si>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</si>
  <si>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</si>
  <si>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</si>
  <si>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</si>
  <si>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</si>
  <si>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</si>
  <si>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</si>
  <si>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</si>
  <si>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</si>
  <si>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</si>
  <si>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</si>
  <si>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</si>
  <si>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</si>
  <si>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</si>
  <si>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</si>
  <si>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</si>
  <si>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</si>
  <si>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</si>
  <si>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</si>
  <si>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</si>
  <si>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</si>
  <si>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</si>
  <si>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</si>
  <si>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</si>
  <si>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</si>
  <si>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</si>
  <si>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</si>
  <si>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</si>
  <si>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</si>
  <si>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</si>
  <si>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</si>
  <si>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</si>
  <si>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</si>
  <si>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</si>
  <si>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</si>
  <si>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</si>
  <si>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</si>
  <si>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</si>
  <si>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</si>
  <si>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</si>
  <si>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</si>
  <si>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</si>
  <si>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</si>
  <si>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</si>
  <si>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</si>
  <si>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</si>
  <si>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</si>
  <si>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</si>
  <si>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</si>
  <si>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</si>
  <si>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</si>
  <si>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</si>
  <si>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</si>
  <si>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</si>
  <si>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</si>
  <si>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</si>
  <si>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</si>
  <si>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</si>
  <si>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</si>
  <si>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</si>
  <si>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</si>
  <si>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</si>
  <si>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</si>
  <si>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</si>
  <si>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</si>
  <si>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</si>
  <si>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</si>
  <si>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</si>
  <si>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</si>
  <si>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</si>
  <si>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</si>
  <si>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</si>
  <si>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</si>
  <si>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</si>
  <si>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</si>
  <si>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</si>
  <si>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</si>
  <si>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</si>
  <si>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</si>
  <si>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</si>
  <si>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</si>
  <si>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</si>
  <si>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</si>
  <si>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</si>
  <si>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</si>
  <si>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</si>
  <si>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</si>
  <si>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</si>
  <si>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</si>
  <si>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</si>
  <si>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</si>
  <si>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</si>
  <si>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</si>
  <si>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</si>
  <si>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</si>
  <si>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</si>
  <si>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</si>
  <si>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</si>
  <si>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</si>
  <si>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</si>
  <si>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</si>
  <si>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</si>
  <si>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</si>
  <si>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</si>
  <si>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</si>
  <si>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</si>
  <si>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</si>
  <si>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</si>
  <si>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</si>
  <si>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</si>
  <si>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</si>
  <si>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</si>
  <si>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</si>
  <si>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</si>
  <si>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</si>
  <si>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</si>
  <si>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</si>
  <si>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</si>
  <si>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</si>
  <si>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</si>
  <si>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</si>
  <si>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</si>
  <si>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</si>
  <si>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</si>
  <si>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</si>
  <si>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</si>
  <si>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</si>
  <si>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</si>
  <si>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</si>
  <si>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</si>
  <si>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</si>
  <si>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</si>
  <si>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</si>
  <si>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</si>
  <si>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</si>
  <si>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</si>
  <si>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</si>
  <si>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</si>
  <si>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</si>
  <si>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</si>
  <si>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</si>
  <si>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</si>
  <si>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</si>
  <si>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</si>
  <si>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</si>
  <si>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</si>
  <si>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</si>
  <si>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</si>
  <si>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</si>
  <si>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</si>
  <si>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</si>
  <si>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</si>
  <si>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</si>
  <si>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</si>
  <si>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</si>
  <si>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</si>
  <si>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</si>
  <si>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</si>
  <si>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</si>
  <si>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</si>
  <si>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</si>
  <si>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</si>
  <si>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</si>
  <si>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</si>
  <si>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</si>
  <si>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</si>
  <si>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</si>
  <si>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</si>
  <si>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</si>
  <si>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</si>
  <si>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</si>
  <si>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</si>
  <si>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</si>
  <si>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</si>
  <si>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</si>
  <si>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</si>
  <si>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</si>
  <si>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</si>
  <si>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</si>
  <si>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</si>
  <si>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</si>
  <si>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</si>
  <si>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</si>
  <si>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</si>
  <si>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</si>
  <si>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</si>
  <si>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</si>
  <si>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</si>
  <si>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</si>
  <si>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</si>
  <si>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</si>
  <si>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</si>
  <si>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</si>
  <si>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</si>
  <si>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</si>
  <si>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</si>
  <si>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</si>
  <si>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</si>
  <si>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</si>
  <si>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</si>
  <si>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</si>
  <si>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</si>
  <si>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</si>
  <si>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</si>
  <si>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</si>
  <si>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</si>
  <si>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</si>
  <si>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</si>
  <si>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</si>
  <si>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</si>
  <si>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</si>
  <si>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</si>
  <si>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</si>
  <si>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</si>
  <si>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</si>
  <si>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</si>
  <si>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</si>
  <si>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</si>
  <si>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</si>
  <si>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</si>
  <si>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</si>
  <si>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</si>
  <si>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</si>
  <si>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</si>
  <si>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</si>
  <si>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</si>
  <si>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</si>
  <si>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</si>
  <si>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</si>
  <si>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</si>
  <si>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</si>
  <si>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</si>
  <si>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</si>
  <si>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</si>
  <si>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</si>
  <si>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</si>
  <si>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</si>
  <si>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</si>
  <si>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</si>
  <si>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</si>
  <si>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</si>
  <si>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</si>
  <si>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</si>
  <si>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</si>
  <si>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</si>
  <si>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</si>
  <si>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</si>
  <si>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</si>
  <si>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</si>
  <si>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</si>
  <si>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</si>
  <si>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</si>
  <si>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</si>
  <si>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</si>
  <si>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</si>
  <si>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</si>
  <si>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</si>
  <si>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</si>
  <si>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</si>
  <si>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</si>
  <si>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</si>
  <si>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</si>
  <si>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</si>
  <si>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</si>
  <si>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</si>
  <si>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</si>
  <si>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</si>
  <si>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</si>
  <si>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</si>
  <si>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</si>
  <si>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</si>
  <si>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</si>
  <si>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</si>
  <si>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</si>
  <si>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</si>
  <si>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</si>
  <si>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</si>
  <si>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</si>
  <si>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</si>
  <si>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</si>
  <si>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</si>
  <si>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</si>
  <si>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</si>
  <si>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</si>
  <si>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</si>
  <si>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</si>
  <si>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</si>
  <si>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</si>
  <si>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</si>
  <si>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</si>
  <si>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</si>
  <si>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</si>
  <si>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</si>
  <si>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</si>
  <si>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</si>
  <si>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</si>
  <si>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</si>
  <si>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</si>
  <si>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</si>
  <si>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</si>
  <si>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</si>
  <si>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</si>
  <si>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</si>
  <si>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</si>
  <si>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</si>
  <si>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</si>
  <si>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</si>
  <si>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</si>
  <si>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</si>
  <si>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</si>
  <si>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</si>
  <si>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</si>
  <si>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</si>
  <si>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</si>
  <si>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</si>
  <si>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</si>
  <si>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</si>
  <si>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</si>
  <si>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</si>
  <si>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</si>
  <si>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</si>
  <si>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</si>
  <si>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</si>
  <si>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</si>
  <si>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</si>
  <si>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</si>
  <si>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</si>
  <si>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</si>
  <si>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</si>
  <si>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</si>
  <si>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</si>
  <si>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</si>
  <si>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</si>
  <si>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</si>
  <si>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</si>
  <si>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</si>
  <si>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</si>
  <si>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</si>
  <si>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</si>
  <si>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</si>
  <si>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</si>
  <si>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</si>
  <si>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</si>
  <si>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</si>
  <si>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</si>
  <si>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</si>
  <si>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</si>
  <si>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</si>
  <si>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</si>
  <si>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</si>
  <si>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</si>
  <si>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</si>
  <si>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</si>
  <si>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</si>
  <si>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</si>
  <si>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</si>
  <si>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</si>
  <si>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</si>
  <si>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</si>
  <si>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</si>
  <si>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</si>
  <si>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</si>
  <si>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</si>
  <si>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</si>
  <si>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</si>
  <si>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</si>
  <si>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</si>
  <si>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</si>
  <si>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</si>
  <si>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</si>
  <si>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</si>
  <si>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</si>
  <si>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</si>
  <si>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</si>
  <si>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</si>
  <si>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</si>
  <si>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</si>
  <si>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</si>
  <si>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</si>
  <si>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</si>
  <si>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</si>
  <si>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</si>
  <si>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</si>
  <si>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</si>
  <si>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</si>
  <si>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</si>
  <si>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</si>
  <si>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</si>
  <si>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</si>
  <si>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</si>
  <si>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</si>
  <si>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</si>
  <si>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</si>
  <si>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</si>
  <si>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</si>
  <si>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</si>
  <si>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</si>
  <si>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</si>
  <si>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</si>
  <si>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</si>
  <si>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</si>
  <si>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</si>
  <si>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</si>
  <si>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</si>
  <si>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</si>
  <si>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</si>
  <si>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</si>
  <si>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</si>
  <si>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</si>
  <si>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</si>
  <si>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</si>
  <si>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</si>
  <si>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</si>
  <si>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</si>
  <si>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</si>
  <si>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</si>
  <si>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</si>
  <si>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</si>
  <si>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</si>
  <si>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</si>
  <si>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</si>
  <si>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</si>
  <si>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</si>
  <si>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</si>
  <si>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</si>
  <si>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</si>
  <si>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</si>
  <si>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</si>
  <si>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</si>
  <si>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</si>
  <si>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</si>
  <si>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</si>
  <si>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</si>
  <si>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</si>
  <si>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</si>
  <si>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</si>
  <si>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</si>
  <si>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</si>
  <si>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</si>
  <si>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</si>
  <si>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</si>
  <si>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</si>
  <si>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</si>
  <si>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</si>
  <si>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</si>
  <si>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</si>
  <si>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</si>
  <si>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</si>
  <si>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</si>
  <si>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</si>
  <si>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</si>
  <si>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</si>
  <si>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</si>
  <si>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</si>
  <si>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</si>
  <si>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</si>
  <si>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</si>
  <si>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</si>
  <si>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</si>
  <si>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</si>
  <si>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</si>
  <si>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</si>
  <si>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</si>
  <si>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</si>
  <si>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</si>
  <si>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</si>
  <si>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</si>
  <si>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</si>
  <si>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</si>
  <si>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</si>
  <si>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</si>
  <si>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</si>
  <si>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</si>
  <si>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</si>
  <si>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</si>
  <si>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</si>
  <si>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</si>
  <si>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</si>
  <si>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</si>
  <si>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</si>
  <si>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</si>
  <si>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</si>
  <si>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</si>
  <si>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</si>
  <si>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</si>
  <si>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</si>
  <si>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</si>
  <si>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</si>
  <si>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</si>
  <si>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</si>
  <si>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</si>
  <si>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</si>
  <si>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</si>
  <si>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</si>
  <si>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</si>
  <si>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</si>
  <si>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</si>
  <si>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</si>
  <si>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</si>
  <si>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</si>
  <si>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</si>
  <si>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</si>
  <si>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</si>
  <si>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</si>
  <si>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</si>
  <si>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</si>
  <si>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</si>
  <si>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</si>
  <si>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</si>
  <si>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</si>
  <si>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</si>
  <si>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</si>
  <si>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</si>
  <si>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</si>
  <si>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</si>
  <si>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</si>
  <si>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</si>
  <si>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</si>
  <si>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</si>
  <si>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</si>
  <si>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</si>
  <si>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</si>
  <si>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</si>
  <si>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</si>
  <si>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</si>
  <si>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</si>
  <si>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</si>
  <si>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</si>
  <si>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</si>
  <si>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</si>
  <si>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</si>
  <si>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</si>
  <si>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</si>
  <si>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</si>
  <si>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</si>
  <si>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</si>
  <si>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</si>
  <si>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</si>
  <si>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</si>
  <si>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</si>
  <si>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</si>
  <si>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</si>
  <si>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</si>
  <si>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</si>
  <si>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</si>
  <si>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</si>
  <si>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</si>
  <si>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</si>
  <si>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</si>
  <si>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</si>
  <si>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</si>
  <si>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</si>
  <si>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</si>
  <si>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</si>
  <si>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</si>
  <si>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</si>
  <si>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</si>
  <si>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</si>
  <si>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</si>
  <si>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</si>
  <si>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</si>
  <si>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</si>
  <si>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Lascu Dan</t>
  </si>
  <si>
    <t>Ciugudean Mircea</t>
  </si>
  <si>
    <t>Transferul controlat al energiei prin convertoare PWM și rezonante</t>
  </si>
  <si>
    <t>30.03.1999</t>
  </si>
  <si>
    <t>Ioana Monica Pop-Călimanu, Aurel Cireșan, Lascu Dan</t>
  </si>
  <si>
    <t>Electronică de putere. Experimente</t>
  </si>
  <si>
    <t>978-606-35-01l3-5</t>
  </si>
  <si>
    <t>Lucrări laborator Texas Instruments</t>
  </si>
  <si>
    <t>Simulator Caspoc - Simulation Research</t>
  </si>
  <si>
    <t>Gontean Aurel, Lica Septimiu, Bularka Szilard, Szabo Roland, Lascu Dan</t>
  </si>
  <si>
    <t>A Novel High Accuracy PV Cell Model Including Self Heating and Parameter Variation</t>
  </si>
  <si>
    <t xml:space="preserve">Energies, Volume 11, Issue 1, Article Number 36, Jan. 2018, DOI: 10.3390/en11010036, WOS:000424397600036 </t>
  </si>
  <si>
    <t>Gurbina Mircea, Ciresan Aurel, Lascu Dan, Lica Septimiu, Pop-Calimanu Ioana</t>
  </si>
  <si>
    <t>A New Mathematical Approach for Studying Bifurcation in DCM Operated dc-dc Switching Converters</t>
  </si>
  <si>
    <t xml:space="preserve">Energies, Volume 11, Issue 3, Article Number 663, March 2018,  DOI: 10.3390/en11030663, WOS:000428304300191 </t>
  </si>
  <si>
    <t>Pop-Calimanu Ioana-Monica,  Lica Septimiu, Popescu Sorin, Lascu Dan, Lie Ioan, Mirsu Radu</t>
  </si>
  <si>
    <t>A New Hybrid Inductor-Based Boost Dc-Dc Converter Suitable for Applications in Photovoltaic Systems</t>
  </si>
  <si>
    <t>Energies, Volume 12, Issue 2,  Jan. 2019, DOI:10.3390/en12020252, WOS: WOS:000459743700053</t>
  </si>
  <si>
    <t>Septimiu Lica, Dragoş Iancu, Mircea Tomoroga, Mircea Gurbină, Lascu Dan</t>
  </si>
  <si>
    <t>A New Single Active Switch Quadratic Buck Converter</t>
  </si>
  <si>
    <t>International Review of Automatic Control (IREACO), vol. 8 (no. 5), 2015, ISSN: 19746059, DOI: 10.15866/ireaco.v8i5.7203, Pages 346 - 353</t>
  </si>
  <si>
    <t>Familii de convertoare DC-DC cu bobină cu priză</t>
  </si>
  <si>
    <t>Regulatoare PID proiectate cu algoritmi genetici pentru convertoare DC-DC</t>
  </si>
  <si>
    <t>Convertor Buck cu comandă digitală în tensiune și curent cu TMS320F28035</t>
  </si>
  <si>
    <t>Comanda digitală în tensiune și în curent a unui convertor Buck pe baza valorilor integrale de curent și tensiune</t>
  </si>
  <si>
    <t>Modele pentru convertoare DC-DC cu funcționare DCM cu pierderi de conducție</t>
  </si>
  <si>
    <t>Controller digital la înaltă frecvență și viteză ridicată pentru LED-uri, destinat aplicațiilor automotive</t>
  </si>
  <si>
    <t>Noi convertoare DC-DC obținute prin metoda de sinteză Zhou modificată</t>
  </si>
  <si>
    <t>Testarea modulului de control airbag cu programul Testexec SL</t>
  </si>
  <si>
    <t>Tehnică de comandă pentru o tranziție stabilă a unui convertor BUCK-BOOST</t>
  </si>
  <si>
    <t>Catrinoi Andrei (EA)</t>
  </si>
  <si>
    <t>Pop Evelyne (E)</t>
  </si>
  <si>
    <t>Retezan Adrian (E)</t>
  </si>
  <si>
    <t>Băbăiță Cristina Andreea (ESI)</t>
  </si>
  <si>
    <t>Căpățână Valentina (ESI)</t>
  </si>
  <si>
    <t>Simulation of Power Stage Operation and Control Applied in Automotive Industry</t>
  </si>
  <si>
    <t>Analysis of Bifurcation Phenomena in the DC-DC CCM Operated Buck Converter</t>
  </si>
  <si>
    <t>Predictive Digital  Average Current Control in DC-DC Converters</t>
  </si>
  <si>
    <t>Ciulea Vlad (EA)</t>
  </si>
  <si>
    <t>Filipescu Roxana (E)</t>
  </si>
  <si>
    <t>Chiș Laura (ESI)</t>
  </si>
  <si>
    <t>Convertor rezonant LLC</t>
  </si>
  <si>
    <t>Drăgoescu Gianina Florentina (EA)</t>
  </si>
  <si>
    <t>Lovasz Evelyn Astrid (EA)</t>
  </si>
  <si>
    <t>Negrea Andreea Maria (EA)</t>
  </si>
  <si>
    <t>Roman Camelia Valentina (EA)</t>
  </si>
  <si>
    <t>Stănescu Adriana Mirabela (EA)</t>
  </si>
  <si>
    <t>Cireșan Laura Andreea (E)</t>
  </si>
  <si>
    <t>Cociuba Filip George (ESI)</t>
  </si>
  <si>
    <t>Jechianu Bogdan Cosmin (EB)</t>
  </si>
  <si>
    <t>Convertoare Buck-Boost cu două întrerupătoare cu comandă independentă</t>
  </si>
  <si>
    <t>Sistem pentru preluarea în regim slave și transmisie wireless a unui flux video</t>
  </si>
  <si>
    <t>Sistem de testare a ecranelor tactile capacitive</t>
  </si>
  <si>
    <t>Coman Adrian (EA)</t>
  </si>
  <si>
    <t>Popescu Marius Lucian (EA)</t>
  </si>
  <si>
    <t>Încărcător fără fir pentru autovehicule electrice</t>
  </si>
  <si>
    <t>Sistem de comandă a generatoarelor de fascicule laser cu intensitate controlată</t>
  </si>
  <si>
    <t>Ulăreanu Daniela Vetuța (EA)</t>
  </si>
  <si>
    <t>Digital Voltage-Mode Control of a Buck Converter</t>
  </si>
  <si>
    <t>Tomodan Roxana Elisabeta (E)</t>
  </si>
  <si>
    <t>Digital Current-Mode Control of a Boost Converter</t>
  </si>
  <si>
    <t>Nădăban Dănuț (ID)</t>
  </si>
  <si>
    <t>Convertoare DC-DC în comutație utilizând bobine cu prize</t>
  </si>
  <si>
    <t>Convertoare DC-DC de tip KY</t>
  </si>
  <si>
    <t>Convertor Cuk de generația a doua</t>
  </si>
  <si>
    <t>Încărcător pentru acumulatori cu convertor SEPIC</t>
  </si>
  <si>
    <t>Comanda digitală a convertoarelor în comutație</t>
  </si>
  <si>
    <t>Faur Teodora (EA)</t>
  </si>
  <si>
    <t>Grad Anamaria (EA)</t>
  </si>
  <si>
    <t>Miksa Andrei (EA)</t>
  </si>
  <si>
    <t>Niculescu Marcel Răzvan (EA)</t>
  </si>
  <si>
    <t>Turda Alina (EA)</t>
  </si>
  <si>
    <t>Data logger pentru măsurarea curentului consumat de sistemul de monitorizare a presiunii din roți</t>
  </si>
  <si>
    <t>Verlan Sergiu (EA)</t>
  </si>
  <si>
    <t>Familie de convertoare cu patru întrerupătoare provenită din convertorul pătratic Buck-Boost cu tensiune de ieșire pozitivă</t>
  </si>
  <si>
    <t>Predictive Digital Current Programmed Control</t>
  </si>
  <si>
    <t>Nikic Ivo (E)</t>
  </si>
  <si>
    <t>Cârdei Bogdan Cristian (E)</t>
  </si>
  <si>
    <t xml:space="preserve">Buck-Boost Quadratic Converter with Dual LC Structure </t>
  </si>
  <si>
    <t>Cireșan Laura Andreea (ESI)</t>
  </si>
  <si>
    <t>Noi modele și algoritmi de proiectare a convertoarelor rezonante serie și LLC</t>
  </si>
  <si>
    <t>Lovasz Evelyn Astrid (ESI)</t>
  </si>
  <si>
    <t>Convertor bidirecțional soft-switching cu izolare galvanică bazat pe topologia Cuk, cu aplicații în încărcarea bateriilor auto</t>
  </si>
  <si>
    <t>Negrea Andreea Maria (ESI)</t>
  </si>
  <si>
    <t>Convertor Buck sincron multifază cu comandă PWM modificată utilizând TMS320F28035</t>
  </si>
  <si>
    <t>Stănescu Adriana Mirabela (ESI)</t>
  </si>
  <si>
    <t>Teste regresive periferice automate</t>
  </si>
  <si>
    <t>Design Tool for DC-DC Switching Converter Analysis</t>
  </si>
  <si>
    <t>Balint Daiana Bianca (EA)</t>
  </si>
  <si>
    <t>Baidoc Iasmina (EA)</t>
  </si>
  <si>
    <t>Sistem autonom de măsurare a temperaturii și transmisie a datelor la distanță</t>
  </si>
  <si>
    <t>Dragomir Ademona (EA)</t>
  </si>
  <si>
    <t>Convertor DC-DC Boost cvasirezonant</t>
  </si>
  <si>
    <t>Mihalaș Constantin Daniel (EA)</t>
  </si>
  <si>
    <t>Charger utilizând un convertor în punte cu comutație ZVS și redresare sincronă</t>
  </si>
  <si>
    <t>Oneț Flavius Sorin (EA)</t>
  </si>
  <si>
    <t>Charger realizat cu un convertor rezonant LLC în semipunte</t>
  </si>
  <si>
    <t>Ploscaru Adela (EA)</t>
  </si>
  <si>
    <t>Automated Small-Signal Analysis of Switching Converters</t>
  </si>
  <si>
    <t>Pop Raul Ioan (EA)</t>
  </si>
  <si>
    <t>Sistem de conversie a energiei solare cu convertor Buck</t>
  </si>
  <si>
    <t>Stan Alexandra Anamaria (EA)</t>
  </si>
  <si>
    <t>Amplificatoare utilizate pentru transmisia rezonantă a puterii</t>
  </si>
  <si>
    <t>Tutelea Andreea Maria</t>
  </si>
  <si>
    <t>Analiza și modelarea convertoarelor DC-DC cu comandă în curent</t>
  </si>
  <si>
    <t>Popescu Marius Lucian (ESI)</t>
  </si>
  <si>
    <t>Convertoare dc-dc cu condensator serie în arhitectură multifază</t>
  </si>
  <si>
    <t xml:space="preserve">Amplificator în clasă E pentru wireless power charging </t>
  </si>
  <si>
    <t>Convertor Buck-Boost cu două tranzistoare comandate independent</t>
  </si>
  <si>
    <t>Cornea Alexandru (EA)</t>
  </si>
  <si>
    <t>Gagi Marian Ștefan (EA)</t>
  </si>
  <si>
    <t>Convertor dc-dc cu comandă în mod alunecător</t>
  </si>
  <si>
    <t>Modul pentru analiza și prototiparea rapidă a convertoarelor în comutație</t>
  </si>
  <si>
    <t>Redresor Vienna monofazat pentru corecția activă a factorului de putere</t>
  </si>
  <si>
    <t>Automated Small-Signal Analysis and Controller Design for Switching Converters</t>
  </si>
  <si>
    <t>Recheșan Gabriel Andrei</t>
  </si>
  <si>
    <t>Jilavu Laurențiu-Alexandru (EA)</t>
  </si>
  <si>
    <t>Tănăsoiu Elena Loredana (EA)</t>
  </si>
  <si>
    <t>Zdrinca Lorena Timeea (EA)</t>
  </si>
  <si>
    <t>Moț Denisa Anamaria (EA)</t>
  </si>
  <si>
    <t>Single Phase 200 W PWM Inverter</t>
  </si>
  <si>
    <t>Draghici Daniel, Gurbină Mircea, Lascu Dan</t>
  </si>
  <si>
    <t>Stability Analysis of DC-DC Converters Employing Digital Predictive Leading Triangle Modulation Valley Current Control</t>
  </si>
  <si>
    <t>38th International Conference on Telecommunications and Signal Processing (TSP),   July 9-11, 2015, Prague, Czech Republic,  ISBN: 978-1-4799-8498-5, WOS:000375231000033</t>
  </si>
  <si>
    <t>Aurel Ciresan, Septimiu Lica, Lascu Dan, Mircea Tomoroga</t>
  </si>
  <si>
    <t>A Novel Low-Stress High-Efficiency Step-Up DC-DC Converter</t>
  </si>
  <si>
    <t>Proceedings of  the 19th International Conference on System Theory, Control and Computing (ICSTCC 2015/SACCS), 14-16 October 2015, Cheile Gradistei - Fundata Resort, Romania, ISBN 978-1-4799-8481-7, ISBN: 978-1-4799-8480-0, Pages 830-835, WOS:000382384100138</t>
  </si>
  <si>
    <t>Septimiu Lica, Ioana Monica Pop-Călimanu, Lascu Dan, Aurel Cireşan, Mircea Gurbina</t>
  </si>
  <si>
    <t>2017 International Conference on Optimization of Electrical and Electronic Equipment (OPTIM) &amp; 2017  International Aegean Conference on Electrical Machines  and Power Electronics (ACEMP), 25-27 May 2017, Cheile Gradistei - Fundata Resort, Romania, pp. 549-554, ISBN 978-1-5090-4489-4, ISBN (ISSN): 978-1-5090-4489-4 (IEEE),  WOS:000426909600083</t>
  </si>
  <si>
    <t>A Novel Stacked Step-Down Switching Converter</t>
  </si>
  <si>
    <t>Pop-Calimanu Ioana-Monica, Lascu Dan, Lica Septimiu, Gurbina Mircea, Renken Folker</t>
  </si>
  <si>
    <t>A New Hybrid Boost-L Converter</t>
  </si>
  <si>
    <t>2017 INTERNATIONAL SYMPOSIUM ON POWER ELECTRONICS (EE), NOVI SAD, SERBIA, OCT 19-21, 2017, WOS:000426894600012, ISBN: 978-1-5386-3502-5</t>
  </si>
  <si>
    <t>2017 40th International Conference on Telecommunications and Signal Processing (TSP), 5-7 July 2017, Barcelona, Spain, ISSN: 1805-5435, ISBN: 978-1-5090-3981-4,  DOI: 10.1109/TSP.2017.8075995, Pages 315-319 (IEEEXplore), WOS:000425229000069</t>
  </si>
  <si>
    <t>A new stacked step-up converter</t>
  </si>
  <si>
    <t>A New Hybrid Cuk Converter</t>
  </si>
  <si>
    <t>Lica Septimiu, Pop-Calimanu Ioana-Monica, Lascu Dan, Popescu Sorin, Tomoroga Mircea, Ciresan Aurel</t>
  </si>
  <si>
    <t>13th International Symposium on Electronics and Telecommunications (ISETC) Location: Timisoara, ROMANIA Date: NOV 08-09, 2018, pp. 133-136,  WOS:000463031500030</t>
  </si>
  <si>
    <t>Pop-Calimanu Ioana-Monica, Lica Septimiu, Lascu Dan, Renken Folker, Gurbină Mircea, Mîrșu Radu</t>
  </si>
  <si>
    <t>A Novel Hybrid Step-Down DC-DC Converter</t>
  </si>
  <si>
    <t>18th IEEE International Power Electronics and Motion Control Conference (IEEE PEMC) Location: World Trade Ctr, Budapest, HUNGARY Date: AUG 26-30, 2018. pp. 34-39, WOS:000462062900004</t>
  </si>
  <si>
    <t>Gurbina Mircea, Pop-Calimanu Ioana-Monica, Lascu Dan, Lica, Septimiu, Ciresan Aurel</t>
  </si>
  <si>
    <t>Exact Stability Analysis of a Two-Phase Boost Converter</t>
  </si>
  <si>
    <t xml:space="preserve">41st International Conference on Telecommunications and Signal Processing (TSP) Location: Athens, GREECE Date: JUL 04-06, 2018, Pages 334-337 WOS:000454845100075 </t>
  </si>
  <si>
    <t>Pop-Calimanu Ioana-Monica, Lica Septimiu, Lascu Dan, Renken Folker</t>
  </si>
  <si>
    <t>A Novel Hybrid Buck-L Converter</t>
  </si>
  <si>
    <t>2018 20TH EUROPEAN CONFERENCE ON POWER ELECTRONICS AND APPLICATIONS (EPE'18 ECCE EUROPE), Riga, LATVIA, SEP 17-21, 2018, Accession Number: WOS:000450299300157, ISBN:978-9-0758-1528-3, ISSN: 2325-0313,  WOS:000450299300157</t>
  </si>
  <si>
    <t>Lovasz Evelyn Astrid, Lascu Dan</t>
  </si>
  <si>
    <t>A General Approach for Deriving the Sliding Mode State-Space Equation in Second Order CCM Operated DC-DC Converters</t>
  </si>
  <si>
    <t>13th International Symposium on Electronics and Telecommunications (ISETC) Location: Timisoara, ROMANIA Date: NOV 08-09, 2018, pp. 137-140, WOS:000463031500031</t>
  </si>
  <si>
    <t>Tumor Detection and Classification of MRI Brain Image using Different Wavelet Transforms and Support Vector Machines</t>
  </si>
  <si>
    <t>Gurbina Mircea, Lascu Mihaela, Lascu Dan</t>
  </si>
  <si>
    <t xml:space="preserve"> 42ND INTERNATIONAL CONFERENCE ON TELECOMMUNICATIONS AND SIGNAL PROCESSING (TSP), Budapest, July 1-3, 2019, pp 505-508, doi.org/10.1109/TSP.2019.8769040</t>
  </si>
  <si>
    <t>Universal Controller for Quasiresonant and LLC Converters</t>
  </si>
  <si>
    <t xml:space="preserve"> 42ND INTERNATIONAL CONFERENCE ON TELECOMMUNICATIONS AND SIGNAL PROCESSING (TSP), Budapest, July 1-3, 2019, pp 513-516, doi.org/10.1109/TSP.2019.8769040</t>
  </si>
  <si>
    <t>Boțilă Delia, Ioana Monica Pop Călimanu, Lascu Dan, Lica Septimiu</t>
  </si>
  <si>
    <t>A Novel Buck-Boost Converter with Two Independently Controlled Switches</t>
  </si>
  <si>
    <t>Boțilă Delia, Ioana Monica Pop Călimanu, Lascu Dan</t>
  </si>
  <si>
    <t>A Novel Boost Converter with Two Independently Controlled Switches</t>
  </si>
  <si>
    <t>2019 20th International Symposium on Power Electronics (Ee), October 23-26, 2019, Novi Sad, Serbia, pp. 1-6</t>
  </si>
  <si>
    <t>2019 International Conference on Electrical Drives &amp; Power Electronics (EDPE), The High Tatras, Novy Smokovec, 24-26 Sept. 2019, pp. 125-130</t>
  </si>
  <si>
    <t>Bidirectional charger</t>
  </si>
  <si>
    <t>Contractul subsecvent Nr. 6 la Contract BC 72/28.06.2016 (10018/11.07.2016)</t>
  </si>
  <si>
    <t>Mircea Gurbină</t>
  </si>
  <si>
    <t>Shen Wensong</t>
  </si>
  <si>
    <t>Evelyn Lovasz</t>
  </si>
  <si>
    <t>Cristian Ionici</t>
  </si>
  <si>
    <t>Septimiu Lica</t>
  </si>
  <si>
    <t xml:space="preserve">2019 International Conference on Electrical Drives &amp; Power Electronics (EDPE) </t>
  </si>
  <si>
    <t>Advances in Electrical and Computer Engineering</t>
  </si>
  <si>
    <t>European Power Electronics Journal</t>
  </si>
  <si>
    <t>International Symposium on Electronics and Telecommunications</t>
  </si>
  <si>
    <t>European Conference on Power Electronics and Applications</t>
  </si>
  <si>
    <t>Journal of Power Electronics</t>
  </si>
  <si>
    <t>International Conference on Optimization of Electrical and Electronic Equipment (OPTIM) &amp; 2017 Intl Aegean Conference on Electrical Machines and Power Electronics (ACEMP) : The Cheile Gradistei Fundata Complex, Brasov, Romania, 25-27 May 2017</t>
  </si>
  <si>
    <t>IEEE Transactions on Industrial Electronics</t>
  </si>
  <si>
    <t>2018 IEEE 18th International Power Electronics and Motion Control Conference</t>
  </si>
  <si>
    <t>41st International Conference on Telecommunications and Signal Processing (TSP)</t>
  </si>
  <si>
    <t>19TH INTERNATIONAL CONFERENCE ON ELECTRICAL DRIVES &amp; POWER ELECTRONICS</t>
  </si>
  <si>
    <t>2019 IEEE 19th International Power Electronics and Motion Control Conference</t>
  </si>
  <si>
    <t>IEEE GPECOM2019 Global Power, Energy and Communication Conference</t>
  </si>
  <si>
    <t>10th International Conference on Power Electronics and ECCE Asia (ICPE 2019 - ECCE Asia), Busan, Korea</t>
  </si>
  <si>
    <t>Multidisciplinary Digital Publishing Institute (MDPI) -  Electronics</t>
  </si>
  <si>
    <t>Multidisciplinary Digital Publishing Institute (MDPI) - Sensors</t>
  </si>
  <si>
    <t>Aegean Conference on Electrical Machines and Power and Optimization of Electrical &amp; Electronic Equipment Conference, 27 - 29 Aug 2019, Bahcesehir University, Ardahan, Turkey</t>
  </si>
  <si>
    <t>Solar Energy, Elsevier</t>
  </si>
  <si>
    <t>Roland Szabo, Universitatea Politehnica Timișoara - președinte</t>
  </si>
  <si>
    <t>Ioan Orha, Universitatea Tehnică din Cluj-Napoca - Referent</t>
  </si>
  <si>
    <t>Ioana Monica Pop-Călimanu - Referent</t>
  </si>
  <si>
    <t>Sebastian Sabou, Universitatea Tehnică din Cluj-Napoca - Referent</t>
  </si>
  <si>
    <t>Ștefan-Romulus Dărăban -l’Université de Nantes, Universitatea Tehnică din Cluj-Napoca - Referent</t>
  </si>
  <si>
    <t>Alexandru-Cristian Orian, Universitatea Tehnică din Cluj-Napoca - Referent</t>
  </si>
  <si>
    <t>Enikö Lázár (Szilágyi), Universitatea Tehnică din Cluj-Napoca - Referent</t>
  </si>
  <si>
    <t>Dan Filip, Universitatea Tehnică din Cluj-Napoca - Referent</t>
  </si>
  <si>
    <t>Laszlo Molnar - Universitatea Politehnica Timișoara - Referent</t>
  </si>
  <si>
    <t>Specializarea Electronică Aplicată</t>
  </si>
  <si>
    <t>Preşedinte al Boardului Specializăriii</t>
  </si>
  <si>
    <t>Director departament</t>
  </si>
  <si>
    <t>Departament Electronică Aplicată</t>
  </si>
  <si>
    <t>Concurs post vacant 28</t>
  </si>
  <si>
    <t>Concurs post vacant 29</t>
  </si>
  <si>
    <t>Concurs post vacant 19</t>
  </si>
  <si>
    <t>Concurs post vacant 20</t>
  </si>
  <si>
    <t>Concurs post vacant 12</t>
  </si>
  <si>
    <t>Concurs post vacant inginer</t>
  </si>
  <si>
    <t>Concurs post vacant tehnician</t>
  </si>
  <si>
    <t>Concurs post vacant ingrijitor</t>
  </si>
  <si>
    <t>Post vacant CS1 Academia Română</t>
  </si>
  <si>
    <t>Finalizare master</t>
  </si>
  <si>
    <t>Power Electronics and Motion Control Council</t>
  </si>
  <si>
    <t>Asociația Inginerilor Electroniști Timișoara</t>
  </si>
  <si>
    <t>IEEE Industrial Electronics Society</t>
  </si>
  <si>
    <t>Promovare specializare Electronică Aplicată</t>
  </si>
  <si>
    <t>Promovare facultate ETcTI</t>
  </si>
  <si>
    <t>Sponsorizare Hella</t>
  </si>
  <si>
    <t>Electronică de Putere (EA + ID), Power Electronics, Sisteme electronice de conversie si alimentare, Procesoare de putere de înaltă frecvență</t>
  </si>
  <si>
    <t xml:space="preserve">https://cv.upt.ro/course/view.php?id=387
https://cv.upt.ro/course/view.php?id=772
https://cv.upt.ro/course/view.php?id=1497
https://cv.upt.ro/course/view.php?id=1451
</t>
  </si>
  <si>
    <t>III EA, III E, I ESI</t>
  </si>
  <si>
    <t>Sisteme electronice de conversie și alimentare</t>
  </si>
  <si>
    <t>x</t>
  </si>
  <si>
    <t>International Symposium on Electronics and Telecommunications 2016</t>
  </si>
  <si>
    <t>International Symposium on Electronics and Telecommunications 2018</t>
  </si>
  <si>
    <t>IEEE-PEMC 2018 - 18TH INTERNATIONAL CONFERENCE ON POWER ELECTRONICS AND MOTION CONTROL - 2018.08.26-30, BUDAPEST</t>
  </si>
  <si>
    <t>Alianța Națională a Organizațiilor Studențești din România</t>
  </si>
  <si>
    <t>Profesor Bologna</t>
  </si>
  <si>
    <t>Battery charger using a dc-dc converter</t>
  </si>
  <si>
    <t>Sliding Mode Control of DC-DC
Switching Converter</t>
  </si>
  <si>
    <t>Lancelot Hacques-Minier - IUT de Rennes</t>
  </si>
  <si>
    <t>Tanguy Faivre d'Arcier - IUT de Rennes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</si>
</sst>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3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0" fontId="12" fillId="0" borderId="0" xfId="0" applyFont="1" applyProtection="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3" xfId="0" applyNumberFormat="1"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3" xfId="1" applyNumberFormat="1"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0" fontId="12" fillId="0" borderId="10" xfId="0" applyFont="1" applyBorder="1" applyAlignment="1" applyProtection="1">
      <alignment horizontal="left" vertical="center" wrapText="1"/>
      <protection locked="0"/>
    </xf>
    <xf numFmtId="0" fontId="12" fillId="0" borderId="20" xfId="0" applyFont="1" applyBorder="1" applyAlignment="1" applyProtection="1">
      <alignment vertical="center" wrapText="1"/>
      <protection locked="0"/>
    </xf>
    <xf numFmtId="0" fontId="12" fillId="0" borderId="3" xfId="0" applyNumberFormat="1" applyFont="1" applyBorder="1" applyAlignment="1" applyProtection="1">
      <alignment horizontal="center" vertical="center"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0" fontId="12" fillId="0" borderId="0" xfId="0" applyFont="1" applyProtection="1">
      <protection locked="0"/>
    </xf>
    <xf numFmtId="0" fontId="12" fillId="0" borderId="1" xfId="0"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3" xfId="0" applyNumberFormat="1" applyFont="1" applyBorder="1" applyAlignment="1" applyProtection="1">
      <alignment horizontal="left"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14" sqref="A14"/>
    </sheetView>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1015</v>
      </c>
    </row>
    <row r="7" spans="1:1" ht="14.25" customHeight="1" x14ac:dyDescent="0.25">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C27" sqref="C2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654</v>
      </c>
      <c r="B5" s="559"/>
      <c r="C5" s="559"/>
      <c r="D5" s="559"/>
      <c r="E5" s="559"/>
      <c r="F5" s="559"/>
      <c r="G5" s="559"/>
      <c r="H5" s="559"/>
      <c r="I5" s="559"/>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H11" sqref="H1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ht="36.75" customHeight="1" x14ac:dyDescent="0.25">
      <c r="A5" s="565" t="s">
        <v>656</v>
      </c>
      <c r="B5" s="565"/>
      <c r="C5" s="565"/>
      <c r="D5" s="565"/>
      <c r="E5" s="565"/>
      <c r="F5" s="565"/>
      <c r="G5" s="565"/>
      <c r="H5" s="565"/>
      <c r="I5" s="565"/>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x14ac:dyDescent="0.25">
      <c r="A9" s="88"/>
      <c r="B9" s="65"/>
      <c r="C9" s="65"/>
      <c r="D9" s="65"/>
      <c r="E9" s="66"/>
      <c r="F9" s="30"/>
      <c r="G9" s="74"/>
      <c r="H9" s="67"/>
      <c r="I9" s="148">
        <f>SUMIF(I10:I1010,"&gt;0")</f>
        <v>40</v>
      </c>
      <c r="J9" s="148">
        <f t="shared" ref="J9:N9" si="0">SUMIF(J10:J108,"&gt;0")</f>
        <v>40</v>
      </c>
      <c r="K9" s="4">
        <f t="shared" si="0"/>
        <v>1</v>
      </c>
      <c r="L9" s="4">
        <f t="shared" si="0"/>
        <v>1</v>
      </c>
      <c r="M9" s="4">
        <f t="shared" si="0"/>
        <v>40</v>
      </c>
      <c r="N9" s="4">
        <f t="shared" si="0"/>
        <v>40</v>
      </c>
      <c r="O9" s="298"/>
    </row>
    <row r="10" spans="1:16" ht="15.75" customHeight="1" x14ac:dyDescent="0.25">
      <c r="A10" s="37">
        <v>1</v>
      </c>
      <c r="B10" s="380" t="s">
        <v>1239</v>
      </c>
      <c r="C10" s="380" t="s">
        <v>1240</v>
      </c>
      <c r="D10" s="7" t="s">
        <v>657</v>
      </c>
      <c r="E10" s="5" t="s">
        <v>1241</v>
      </c>
      <c r="F10" s="220">
        <v>2019</v>
      </c>
      <c r="G10" s="220">
        <v>119</v>
      </c>
      <c r="H10" s="220">
        <v>40</v>
      </c>
      <c r="I10" s="16">
        <f t="shared" ref="I10:I73" si="1">IF(OR($B10="",$C10="",$D10="",$E10="",$F10&lt;an_initial,$F10&gt;an_final,$O10=FALSE),"",IF($H10="",CS_STR_RO*$G10/P10,CS_STR_RO*$H10))</f>
        <v>40</v>
      </c>
      <c r="J10" s="16">
        <f t="shared" ref="J10:J73" si="2">IF(OR($B10="",$C10="",$D10="",$E10="",$F10="",$F10&gt;an_final,$O10=FALSE),"",IF($H10="",CS_STR_RO*$G10/P10,CS_STR_RO*$H10))</f>
        <v>40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40</v>
      </c>
      <c r="N10" s="58">
        <f t="shared" ref="N10:N73" si="6">IF(OR($B10="",$C10="",$D10="",$E10="",$F10="",$F10&lt;an_initial,$F10&gt;an_final,$O10=FALSE),"",IF($H10="",$G10/P10,$H10))</f>
        <v>40</v>
      </c>
      <c r="O10" s="349" t="b">
        <f t="shared" ref="O10:O73" si="7">IF(nume_candidat="",FALSE,ISNUMBER(SEARCH(nume_candidat,$B10)))</f>
        <v>1</v>
      </c>
      <c r="P10" s="350">
        <f t="shared" ref="P10:P73" si="8">LEN(B10)-LEN(SUBSTITUTE(B10,",",""))+1</f>
        <v>3</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C22" sqref="C2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65" t="s">
        <v>664</v>
      </c>
      <c r="B5" s="565"/>
      <c r="C5" s="565"/>
      <c r="D5" s="565"/>
      <c r="E5" s="565"/>
      <c r="F5" s="565"/>
      <c r="G5" s="565"/>
      <c r="H5" s="565"/>
      <c r="I5" s="565"/>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669</v>
      </c>
      <c r="B5" s="559"/>
      <c r="C5" s="559"/>
      <c r="D5" s="559"/>
      <c r="E5" s="559"/>
      <c r="F5" s="559"/>
      <c r="G5" s="559"/>
      <c r="H5" s="559"/>
      <c r="I5" s="559"/>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6.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ht="15.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ht="15.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ht="15.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ht="15.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ht="15.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ht="15.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ht="15.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ht="15.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ht="15.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ht="15.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ht="15.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ht="15.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ht="15.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ht="15.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ht="15.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ht="15.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ht="15.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ht="15.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ht="15.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28" sqref="B2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668</v>
      </c>
      <c r="B5" s="559"/>
      <c r="C5" s="559"/>
      <c r="D5" s="559"/>
      <c r="E5" s="559"/>
      <c r="F5" s="559"/>
      <c r="G5" s="559"/>
      <c r="H5" s="559"/>
      <c r="I5" s="559"/>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D22" sqref="D2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667</v>
      </c>
      <c r="B5" s="559"/>
      <c r="C5" s="559"/>
      <c r="D5" s="559"/>
      <c r="E5" s="559"/>
      <c r="F5" s="559"/>
      <c r="G5" s="559"/>
      <c r="H5" s="559"/>
      <c r="I5" s="559"/>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C20" sqref="C20"/>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ht="36.75" customHeight="1" x14ac:dyDescent="0.25">
      <c r="A5" s="565" t="s">
        <v>666</v>
      </c>
      <c r="B5" s="565"/>
      <c r="C5" s="565"/>
      <c r="D5" s="565"/>
      <c r="E5" s="565"/>
      <c r="F5" s="565"/>
      <c r="G5" s="565"/>
      <c r="H5" s="565"/>
      <c r="I5" s="565"/>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C23" sqref="C2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65" t="s">
        <v>665</v>
      </c>
      <c r="B5" s="565"/>
      <c r="C5" s="565"/>
      <c r="D5" s="565"/>
      <c r="E5" s="565"/>
      <c r="F5" s="565"/>
      <c r="G5" s="565"/>
      <c r="H5" s="565"/>
      <c r="I5" s="565"/>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29" sqref="B2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772</v>
      </c>
      <c r="B5" s="559"/>
      <c r="C5" s="559"/>
      <c r="D5" s="559"/>
      <c r="E5" s="559"/>
      <c r="F5" s="559"/>
      <c r="G5" s="559"/>
      <c r="H5" s="559"/>
      <c r="I5" s="559"/>
      <c r="J5" s="226"/>
      <c r="K5" s="226"/>
      <c r="L5" s="226"/>
      <c r="M5" s="226"/>
      <c r="N5" s="64"/>
    </row>
    <row r="6" spans="1:16" ht="13.5" customHeight="1" x14ac:dyDescent="0.3">
      <c r="E6" s="64"/>
      <c r="F6" s="64"/>
      <c r="H6" s="64"/>
      <c r="I6" s="347" t="str">
        <f>CONCATENATE(functie," ",nume_candidat)</f>
        <v>Profesor Lascu Dan</v>
      </c>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6.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ht="15.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ht="15.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ht="15.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ht="15.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ht="15.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ht="15.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ht="15.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ht="15.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ht="15.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ht="15.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ht="15.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ht="15.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ht="15.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ht="15.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ht="15.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ht="15.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ht="15.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ht="15.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ht="15.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29" sqref="B2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808</v>
      </c>
      <c r="B5" s="559"/>
      <c r="C5" s="559"/>
      <c r="D5" s="559"/>
      <c r="E5" s="559"/>
      <c r="F5" s="559"/>
      <c r="G5" s="559"/>
      <c r="H5" s="559"/>
      <c r="I5" s="559"/>
      <c r="J5" s="226"/>
      <c r="K5" s="226"/>
      <c r="L5" s="226"/>
      <c r="M5" s="226"/>
      <c r="N5" s="64"/>
    </row>
    <row r="6" spans="1:16" ht="13.5" customHeight="1" x14ac:dyDescent="0.3">
      <c r="E6" s="64"/>
      <c r="F6" s="64"/>
      <c r="H6" s="64"/>
      <c r="I6" s="347" t="str">
        <f>CONCATENATE(functie," ",nume_candidat)</f>
        <v>Profesor Lascu Dan</v>
      </c>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6.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25">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ht="15.6" x14ac:dyDescent="0.3">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ht="15.6" x14ac:dyDescent="0.3">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ht="15.6" x14ac:dyDescent="0.3">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ht="15.6" x14ac:dyDescent="0.3">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ht="15.6" x14ac:dyDescent="0.3">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ht="15.6" x14ac:dyDescent="0.3">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ht="15.6" x14ac:dyDescent="0.3">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ht="15.6" x14ac:dyDescent="0.3">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ht="15.6" x14ac:dyDescent="0.3">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ht="15.6" x14ac:dyDescent="0.3">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ht="15.6" x14ac:dyDescent="0.3">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ht="15.6" x14ac:dyDescent="0.3">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ht="15.6" x14ac:dyDescent="0.3">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ht="15.6" x14ac:dyDescent="0.3">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ht="15.6" x14ac:dyDescent="0.3">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ht="15.6" x14ac:dyDescent="0.3">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ht="15.6" x14ac:dyDescent="0.3">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ht="15.6" x14ac:dyDescent="0.3">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ht="15.6" x14ac:dyDescent="0.3">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2" t="s">
        <v>483</v>
      </c>
      <c r="B1" s="39"/>
      <c r="C1" s="39"/>
      <c r="D1" s="39"/>
      <c r="E1" s="39"/>
      <c r="F1" s="39"/>
      <c r="G1" s="39"/>
      <c r="H1" s="39"/>
    </row>
    <row r="2" spans="1:8" s="40" customFormat="1" ht="15.6" x14ac:dyDescent="0.3">
      <c r="A2" s="38"/>
      <c r="B2" s="39"/>
      <c r="C2" s="39"/>
      <c r="D2" s="39"/>
      <c r="E2" s="39"/>
      <c r="F2" s="39"/>
      <c r="G2" s="39"/>
      <c r="H2" s="39"/>
    </row>
    <row r="3" spans="1:8" s="40" customFormat="1" ht="18.600000000000001" thickBot="1" x14ac:dyDescent="0.4">
      <c r="A3" s="534" t="str">
        <f>"Concurs public DECANI " &amp; an_final+1</f>
        <v>Concurs public DECANI 2020</v>
      </c>
      <c r="B3" s="534"/>
      <c r="C3" s="39"/>
      <c r="D3" s="39"/>
      <c r="E3" s="39"/>
      <c r="F3" s="39"/>
      <c r="G3" s="39"/>
      <c r="H3" s="39"/>
    </row>
    <row r="4" spans="1:8" s="40" customFormat="1" ht="14.45" x14ac:dyDescent="0.3">
      <c r="A4" s="535" t="str">
        <f>"Perioada de evaluare: "&amp; an_initial &amp; " ‒ " &amp; an_final</f>
        <v>Perioada de evaluare: 2015 ‒ 2019</v>
      </c>
      <c r="B4" s="535"/>
      <c r="C4" s="39"/>
      <c r="D4" s="39"/>
      <c r="E4" s="39"/>
      <c r="F4" s="39"/>
      <c r="G4" s="39"/>
      <c r="H4" s="39"/>
    </row>
    <row r="5" spans="1:8" ht="15.75" thickBot="1" x14ac:dyDescent="0.3">
      <c r="A5" s="43"/>
      <c r="B5" s="41"/>
      <c r="C5" s="41"/>
      <c r="D5" s="44" t="s">
        <v>487</v>
      </c>
      <c r="E5" s="41"/>
      <c r="F5" s="41"/>
      <c r="G5" s="41"/>
      <c r="H5" s="41"/>
    </row>
    <row r="6" spans="1:8" ht="15.75" x14ac:dyDescent="0.25">
      <c r="A6" s="45" t="s">
        <v>485</v>
      </c>
      <c r="B6" s="155" t="s">
        <v>1235</v>
      </c>
      <c r="C6" s="41"/>
      <c r="D6" s="46" t="s">
        <v>493</v>
      </c>
      <c r="E6" s="41"/>
      <c r="F6" s="41"/>
      <c r="G6" s="41"/>
      <c r="H6" s="41"/>
    </row>
    <row r="7" spans="1:8" ht="15.75" x14ac:dyDescent="0.25">
      <c r="A7" s="45" t="s">
        <v>486</v>
      </c>
      <c r="B7" s="155" t="s">
        <v>489</v>
      </c>
      <c r="C7" s="41"/>
      <c r="D7" s="46" t="s">
        <v>552</v>
      </c>
      <c r="E7" s="41"/>
      <c r="F7" s="41"/>
      <c r="G7" s="41"/>
      <c r="H7" s="41"/>
    </row>
    <row r="8" spans="1:8" ht="15.75" x14ac:dyDescent="0.25">
      <c r="A8" s="45" t="s">
        <v>1234</v>
      </c>
      <c r="B8" s="155" t="s">
        <v>524</v>
      </c>
      <c r="C8" s="41"/>
      <c r="D8" s="46" t="s">
        <v>554</v>
      </c>
      <c r="E8" s="41"/>
      <c r="F8" s="41"/>
      <c r="G8" s="41"/>
      <c r="H8" s="41"/>
    </row>
    <row r="9" spans="1:8" ht="15.75" x14ac:dyDescent="0.25">
      <c r="A9" s="501" t="s">
        <v>1233</v>
      </c>
      <c r="B9" s="155" t="s">
        <v>504</v>
      </c>
      <c r="C9" s="41"/>
      <c r="D9" s="46" t="s">
        <v>554</v>
      </c>
      <c r="E9" s="41"/>
      <c r="F9" s="41"/>
      <c r="G9" s="41"/>
      <c r="H9" s="41"/>
    </row>
    <row r="10" spans="1:8" ht="14.45" x14ac:dyDescent="0.3">
      <c r="A10" s="47" t="s">
        <v>1076</v>
      </c>
      <c r="B10" s="41" t="s">
        <v>1076</v>
      </c>
      <c r="C10" s="41"/>
      <c r="D10" s="46" t="s">
        <v>1076</v>
      </c>
      <c r="E10" s="41"/>
      <c r="F10" s="41"/>
      <c r="G10" s="41"/>
      <c r="H10" s="41"/>
    </row>
    <row r="11" spans="1:8" ht="14.45" x14ac:dyDescent="0.3">
      <c r="A11" s="43"/>
      <c r="B11" s="41"/>
      <c r="C11" s="41"/>
      <c r="D11" s="41"/>
      <c r="E11" s="41"/>
      <c r="F11" s="41"/>
      <c r="G11" s="41"/>
      <c r="H11" s="41"/>
    </row>
    <row r="12" spans="1:8" ht="14.45" x14ac:dyDescent="0.3">
      <c r="A12" s="43"/>
      <c r="B12" s="41"/>
      <c r="C12" s="41"/>
      <c r="D12" s="41"/>
      <c r="E12" s="41"/>
      <c r="F12" s="41"/>
      <c r="G12" s="41"/>
      <c r="H12" s="41"/>
    </row>
    <row r="13" spans="1:8" ht="14.45" x14ac:dyDescent="0.3">
      <c r="A13" s="43"/>
      <c r="B13" s="41"/>
      <c r="C13" s="41"/>
      <c r="D13" s="41"/>
      <c r="E13" s="41"/>
      <c r="F13" s="41"/>
      <c r="G13" s="41"/>
      <c r="H13" s="41"/>
    </row>
    <row r="14" spans="1:8" ht="14.45" x14ac:dyDescent="0.3">
      <c r="A14" s="43"/>
      <c r="B14" s="41"/>
      <c r="C14" s="41"/>
      <c r="D14" s="41"/>
      <c r="E14" s="41"/>
      <c r="F14" s="41"/>
      <c r="G14" s="41"/>
      <c r="H14" s="41"/>
    </row>
    <row r="15" spans="1:8" ht="14.45" x14ac:dyDescent="0.3">
      <c r="A15" s="43"/>
      <c r="B15" s="41"/>
      <c r="C15" s="41"/>
      <c r="D15" s="41"/>
      <c r="E15" s="41"/>
      <c r="F15" s="41"/>
      <c r="G15" s="41"/>
      <c r="H15" s="41"/>
    </row>
    <row r="16" spans="1:8" ht="14.45" x14ac:dyDescent="0.3">
      <c r="A16" s="43"/>
      <c r="B16" s="41"/>
      <c r="C16" s="41"/>
      <c r="D16" s="41"/>
      <c r="E16" s="41"/>
      <c r="F16" s="41"/>
      <c r="G16" s="41"/>
      <c r="H16" s="41"/>
    </row>
    <row r="17" spans="1:8" ht="14.45" x14ac:dyDescent="0.3">
      <c r="A17" s="43"/>
      <c r="B17" s="41"/>
      <c r="C17" s="41"/>
      <c r="D17" s="41"/>
      <c r="E17" s="41"/>
      <c r="F17" s="41"/>
      <c r="G17" s="41"/>
      <c r="H17" s="41"/>
    </row>
    <row r="18" spans="1:8" ht="14.45" x14ac:dyDescent="0.3">
      <c r="A18" s="43"/>
      <c r="B18" s="41"/>
      <c r="C18" s="41"/>
      <c r="D18" s="41"/>
      <c r="E18" s="41"/>
      <c r="F18" s="41"/>
      <c r="G18" s="41"/>
      <c r="H18" s="41"/>
    </row>
    <row r="19" spans="1:8" ht="14.45" x14ac:dyDescent="0.3">
      <c r="A19" s="43"/>
      <c r="B19" s="41"/>
      <c r="C19" s="41"/>
      <c r="D19" s="41"/>
      <c r="E19" s="41"/>
      <c r="F19" s="41"/>
      <c r="G19" s="41"/>
      <c r="H19" s="41"/>
    </row>
    <row r="20" spans="1:8" ht="14.45" x14ac:dyDescent="0.3">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D17" sqref="D17"/>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ht="15.6" x14ac:dyDescent="0.2">
      <c r="A2" s="346" t="str">
        <f>IF(ISBLANK(facultate), IF(ISBLANK(departament),"","Departament " &amp; departament), "Facultatea " &amp; facultate)</f>
        <v>Facultatea Electronică și Telecomunicații</v>
      </c>
      <c r="E2" s="61"/>
      <c r="F2" s="61"/>
      <c r="H2" s="62"/>
      <c r="I2" s="63"/>
      <c r="K2" s="62"/>
      <c r="M2" s="289"/>
      <c r="N2" s="289"/>
    </row>
    <row r="3" spans="1:15" s="60" customFormat="1" ht="15.6" x14ac:dyDescent="0.2">
      <c r="A3" s="346" t="str">
        <f>IF(ISBLANK(departament),"","Departamentul " &amp; departament)</f>
        <v>Departamentul Electronică Aplicată</v>
      </c>
      <c r="E3" s="61"/>
      <c r="F3" s="61"/>
      <c r="H3" s="62"/>
      <c r="I3" s="63"/>
      <c r="K3" s="62"/>
      <c r="M3" s="289"/>
      <c r="N3" s="289"/>
    </row>
    <row r="4" spans="1:15" x14ac:dyDescent="0.25">
      <c r="A4" s="559" t="s">
        <v>784</v>
      </c>
      <c r="B4" s="559"/>
      <c r="C4" s="559"/>
      <c r="D4" s="559"/>
      <c r="E4" s="559"/>
      <c r="F4" s="559"/>
      <c r="G4" s="559"/>
      <c r="H4" s="559"/>
      <c r="I4" s="559"/>
      <c r="J4" s="559"/>
      <c r="K4" s="226"/>
      <c r="L4" s="226"/>
      <c r="M4" s="226"/>
      <c r="N4" s="291"/>
    </row>
    <row r="5" spans="1:15" ht="15.6" x14ac:dyDescent="0.3">
      <c r="A5" s="559" t="s">
        <v>773</v>
      </c>
      <c r="B5" s="559"/>
      <c r="C5" s="559"/>
      <c r="D5" s="559"/>
      <c r="E5" s="559"/>
      <c r="F5" s="559"/>
      <c r="G5" s="559"/>
      <c r="H5" s="559"/>
      <c r="I5" s="559"/>
      <c r="J5" s="559"/>
      <c r="K5" s="226"/>
      <c r="L5" s="226"/>
      <c r="M5" s="226"/>
    </row>
    <row r="6" spans="1:15" ht="15.6" x14ac:dyDescent="0.3">
      <c r="I6" s="347" t="str">
        <f>CONCATENATE(functie," ",nume_candidat)</f>
        <v>Profesor Lascu Dan</v>
      </c>
      <c r="J6" s="347" t="str">
        <f>CONCATENATE(functie," ",nume_candidat)</f>
        <v>Profesor Lascu Dan</v>
      </c>
    </row>
    <row r="7" spans="1:15" ht="19.5" customHeight="1" x14ac:dyDescent="0.25">
      <c r="A7" s="556" t="s">
        <v>338</v>
      </c>
      <c r="B7" s="556" t="s">
        <v>0</v>
      </c>
      <c r="C7" s="556" t="s">
        <v>20</v>
      </c>
      <c r="D7" s="556" t="s">
        <v>21</v>
      </c>
      <c r="E7" s="557" t="s">
        <v>336</v>
      </c>
      <c r="F7" s="562" t="s">
        <v>22</v>
      </c>
      <c r="G7" s="556" t="s">
        <v>18</v>
      </c>
      <c r="H7" s="557" t="s">
        <v>546</v>
      </c>
      <c r="I7" s="556" t="s">
        <v>544</v>
      </c>
      <c r="J7" s="556"/>
      <c r="K7" s="556" t="s">
        <v>4</v>
      </c>
      <c r="L7" s="556"/>
      <c r="M7" s="557" t="s">
        <v>19</v>
      </c>
      <c r="N7" s="563" t="s">
        <v>541</v>
      </c>
      <c r="O7" s="566" t="s">
        <v>551</v>
      </c>
    </row>
    <row r="8" spans="1:15"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558"/>
      <c r="N8" s="563"/>
      <c r="O8" s="566"/>
    </row>
    <row r="9" spans="1:15" ht="15.6" x14ac:dyDescent="0.3">
      <c r="A9" s="88"/>
      <c r="B9" s="65"/>
      <c r="C9" s="65"/>
      <c r="D9" s="65"/>
      <c r="E9" s="65"/>
      <c r="F9" s="30"/>
      <c r="G9" s="74"/>
      <c r="H9" s="67"/>
      <c r="I9" s="148">
        <f>SUMIF(I10:I1010,"&gt;0")</f>
        <v>50</v>
      </c>
      <c r="J9" s="148">
        <f>SUMIF(J10:J109,"&gt;0")</f>
        <v>50</v>
      </c>
      <c r="K9" s="4">
        <f>SUMIF(K10:K109,"&gt;0")</f>
        <v>1</v>
      </c>
      <c r="L9" s="4">
        <f>SUMIF(L10:L109,"&gt;0")</f>
        <v>1</v>
      </c>
      <c r="M9" s="4">
        <f>SUMIF(M10:M109,"&gt;0")</f>
        <v>100</v>
      </c>
      <c r="N9" s="298"/>
      <c r="O9" s="302"/>
    </row>
    <row r="10" spans="1:15" ht="157.5" x14ac:dyDescent="0.25">
      <c r="A10" s="143">
        <v>1</v>
      </c>
      <c r="B10" s="8" t="s">
        <v>1235</v>
      </c>
      <c r="C10" s="8" t="s">
        <v>1450</v>
      </c>
      <c r="D10" s="147" t="s">
        <v>1451</v>
      </c>
      <c r="E10" s="8" t="s">
        <v>1452</v>
      </c>
      <c r="F10" s="216">
        <v>2019</v>
      </c>
      <c r="G10" s="216">
        <v>100</v>
      </c>
      <c r="H10" s="216">
        <v>100</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100</v>
      </c>
      <c r="N10" s="349" t="b">
        <f t="shared" ref="N10:N73" si="5">IF(nume_candidat="",FALSE,ISNUMBER(SEARCH(nume_candidat,$B10)))</f>
        <v>1</v>
      </c>
      <c r="O10" s="377">
        <f t="shared" ref="O10:O41" si="6">LEN(B10)-LEN(SUBSTITUTE(B10,",",""))+1</f>
        <v>1</v>
      </c>
    </row>
    <row r="11" spans="1:15" x14ac:dyDescent="0.25">
      <c r="A11" s="143">
        <v>2</v>
      </c>
      <c r="B11" s="8"/>
      <c r="C11" s="8"/>
      <c r="D11" s="8"/>
      <c r="E11" s="8"/>
      <c r="F11" s="216"/>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x14ac:dyDescent="0.3">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ht="15.6" x14ac:dyDescent="0.3">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ht="15.6" x14ac:dyDescent="0.3">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ht="15.6" x14ac:dyDescent="0.3">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ht="15.6" x14ac:dyDescent="0.3">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ht="15.6" x14ac:dyDescent="0.3">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ht="15.6" x14ac:dyDescent="0.3">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ht="15.6" x14ac:dyDescent="0.3">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ht="15.6" x14ac:dyDescent="0.3">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ht="15.6" x14ac:dyDescent="0.3">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ht="15.6" x14ac:dyDescent="0.3">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ht="15.6" x14ac:dyDescent="0.3">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ht="15.6" x14ac:dyDescent="0.3">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G21" sqref="G21"/>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ht="15.6" x14ac:dyDescent="0.2">
      <c r="A2" s="346" t="str">
        <f>IF(ISBLANK(facultate), IF(ISBLANK(departament),"","Departament " &amp; departament), "Facultatea " &amp; facultate)</f>
        <v>Facultatea Electronică și Telecomunicații</v>
      </c>
      <c r="H2" s="61"/>
      <c r="I2" s="63"/>
      <c r="J2" s="50"/>
      <c r="K2" s="62"/>
      <c r="L2" s="51"/>
      <c r="M2" s="50"/>
    </row>
    <row r="3" spans="1:13" s="60" customFormat="1" ht="15.6" x14ac:dyDescent="0.2">
      <c r="A3" s="346" t="str">
        <f>IF(ISBLANK(departament),"","Departamentul " &amp; departament)</f>
        <v>Departamentul Electronică Aplicată</v>
      </c>
      <c r="H3" s="61"/>
      <c r="I3" s="63"/>
      <c r="J3" s="50"/>
      <c r="K3" s="62"/>
      <c r="L3" s="51"/>
      <c r="M3" s="50"/>
    </row>
    <row r="4" spans="1:13" s="54" customFormat="1" x14ac:dyDescent="0.25">
      <c r="A4" s="573" t="s">
        <v>784</v>
      </c>
      <c r="B4" s="573"/>
      <c r="C4" s="573"/>
      <c r="D4" s="573"/>
      <c r="E4" s="573"/>
      <c r="F4" s="573"/>
      <c r="G4" s="573"/>
      <c r="H4" s="573"/>
      <c r="I4" s="573"/>
      <c r="J4" s="423"/>
      <c r="K4" s="52"/>
      <c r="L4" s="53"/>
    </row>
    <row r="5" spans="1:13" s="54" customFormat="1" x14ac:dyDescent="0.25">
      <c r="A5" s="573" t="s">
        <v>809</v>
      </c>
      <c r="B5" s="573"/>
      <c r="C5" s="573"/>
      <c r="D5" s="573"/>
      <c r="E5" s="573"/>
      <c r="F5" s="573"/>
      <c r="G5" s="573"/>
      <c r="H5" s="573"/>
      <c r="I5" s="573"/>
      <c r="J5" s="423"/>
      <c r="K5" s="52"/>
      <c r="L5" s="55"/>
    </row>
    <row r="6" spans="1:13" s="54" customFormat="1" ht="13.5" customHeight="1" x14ac:dyDescent="0.3">
      <c r="A6" s="50"/>
      <c r="I6" s="504"/>
      <c r="J6" s="347" t="str">
        <f>CONCATENATE(functie," ",nume_candidat)</f>
        <v>Profesor Lascu Dan</v>
      </c>
      <c r="K6" s="57"/>
      <c r="L6" s="55"/>
    </row>
    <row r="7" spans="1:13" ht="18.75" customHeight="1" x14ac:dyDescent="0.25">
      <c r="A7" s="570" t="s">
        <v>338</v>
      </c>
      <c r="B7" s="557" t="s">
        <v>779</v>
      </c>
      <c r="C7" s="557" t="s">
        <v>774</v>
      </c>
      <c r="D7" s="160" t="s">
        <v>801</v>
      </c>
      <c r="E7" s="420"/>
      <c r="F7" s="420"/>
      <c r="G7" s="420"/>
      <c r="H7" s="567" t="s">
        <v>2</v>
      </c>
      <c r="I7" s="570" t="s">
        <v>544</v>
      </c>
      <c r="J7" s="567" t="s">
        <v>1102</v>
      </c>
      <c r="K7" s="570" t="s">
        <v>4</v>
      </c>
      <c r="L7" s="575" t="s">
        <v>541</v>
      </c>
      <c r="M7" s="564" t="s">
        <v>551</v>
      </c>
    </row>
    <row r="8" spans="1:13" ht="18.75" customHeight="1" x14ac:dyDescent="0.25">
      <c r="A8" s="571"/>
      <c r="B8" s="574"/>
      <c r="C8" s="574"/>
      <c r="D8" s="420"/>
      <c r="E8" s="160" t="s">
        <v>777</v>
      </c>
      <c r="F8" s="420"/>
      <c r="G8" s="420"/>
      <c r="H8" s="568"/>
      <c r="I8" s="571"/>
      <c r="J8" s="568"/>
      <c r="K8" s="571"/>
      <c r="L8" s="576"/>
      <c r="M8" s="564"/>
    </row>
    <row r="9" spans="1:13" ht="18.75" customHeight="1" x14ac:dyDescent="0.25">
      <c r="A9" s="571"/>
      <c r="B9" s="574"/>
      <c r="C9" s="574"/>
      <c r="D9" s="160"/>
      <c r="E9" s="160"/>
      <c r="F9" s="160" t="s">
        <v>775</v>
      </c>
      <c r="G9" s="420"/>
      <c r="H9" s="568"/>
      <c r="I9" s="572"/>
      <c r="J9" s="568"/>
      <c r="K9" s="572"/>
      <c r="L9" s="576"/>
      <c r="M9" s="564"/>
    </row>
    <row r="10" spans="1:13" ht="18.75" customHeight="1" x14ac:dyDescent="0.25">
      <c r="A10" s="572"/>
      <c r="B10" s="558"/>
      <c r="C10" s="558"/>
      <c r="D10" s="420"/>
      <c r="F10" s="160"/>
      <c r="G10" s="160" t="s">
        <v>776</v>
      </c>
      <c r="H10" s="569"/>
      <c r="I10" s="424" t="str">
        <f>CONCATENATE("ultimii ",durata_evaluare," ani")</f>
        <v>ultimii 5 ani</v>
      </c>
      <c r="J10" s="569"/>
      <c r="K10" s="348" t="str">
        <f>CONCATENATE("ultimii                                  ",durata_evaluare," ani")</f>
        <v>ultimii                                  5 ani</v>
      </c>
      <c r="L10" s="577"/>
      <c r="M10" s="564"/>
    </row>
    <row r="11" spans="1:13" ht="15.6" x14ac:dyDescent="0.3">
      <c r="A11" s="56"/>
      <c r="B11" s="65"/>
      <c r="C11" s="65"/>
      <c r="D11" s="65"/>
      <c r="E11" s="65"/>
      <c r="F11" s="65"/>
      <c r="G11" s="65"/>
      <c r="H11" s="30"/>
      <c r="I11" s="148">
        <f>SUMIF(I12:I1012,"&gt;0")</f>
        <v>50</v>
      </c>
      <c r="J11" s="435"/>
      <c r="K11" s="4">
        <f t="shared" ref="K11" si="0">SUMIF(K12:K110,"&gt;0")</f>
        <v>1</v>
      </c>
      <c r="L11" s="12"/>
      <c r="M11" s="48"/>
    </row>
    <row r="12" spans="1:13" ht="31.5" x14ac:dyDescent="0.25">
      <c r="A12" s="37">
        <v>1</v>
      </c>
      <c r="B12" s="380" t="s">
        <v>1235</v>
      </c>
      <c r="C12" s="380" t="s">
        <v>1453</v>
      </c>
      <c r="D12" s="380"/>
      <c r="E12" s="380" t="s">
        <v>1454</v>
      </c>
      <c r="F12" s="380"/>
      <c r="G12" s="380"/>
      <c r="H12" s="422">
        <v>2018</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x14ac:dyDescent="0.25">
      <c r="A13" s="37">
        <v>2</v>
      </c>
      <c r="B13" s="380"/>
      <c r="C13" s="380"/>
      <c r="D13" s="380"/>
      <c r="E13" s="380"/>
      <c r="F13" s="380"/>
      <c r="G13" s="380"/>
      <c r="H13" s="422"/>
      <c r="I13" s="382" t="str">
        <f t="shared" si="1"/>
        <v/>
      </c>
      <c r="J13" s="37"/>
      <c r="K13" s="58" t="str">
        <f t="shared" si="2"/>
        <v/>
      </c>
      <c r="L13" s="349" t="b">
        <f t="shared" si="3"/>
        <v>0</v>
      </c>
      <c r="M13" s="350">
        <f t="shared" si="4"/>
        <v>1</v>
      </c>
    </row>
    <row r="14" spans="1:13" x14ac:dyDescent="0.25">
      <c r="A14" s="37">
        <v>3</v>
      </c>
      <c r="B14" s="6"/>
      <c r="C14" s="380"/>
      <c r="D14" s="380"/>
      <c r="E14" s="380"/>
      <c r="F14" s="380"/>
      <c r="G14" s="380"/>
      <c r="H14" s="422"/>
      <c r="I14" s="382" t="str">
        <f t="shared" si="1"/>
        <v/>
      </c>
      <c r="J14" s="37"/>
      <c r="K14" s="58" t="str">
        <f t="shared" si="2"/>
        <v/>
      </c>
      <c r="L14" s="349" t="b">
        <f t="shared" si="3"/>
        <v>0</v>
      </c>
      <c r="M14" s="350">
        <f t="shared" si="4"/>
        <v>1</v>
      </c>
    </row>
    <row r="15" spans="1:13" ht="15.6" x14ac:dyDescent="0.3">
      <c r="A15" s="37">
        <v>4</v>
      </c>
      <c r="B15" s="6"/>
      <c r="C15" s="6"/>
      <c r="D15" s="6"/>
      <c r="E15" s="6"/>
      <c r="F15" s="6"/>
      <c r="G15" s="6"/>
      <c r="H15" s="421"/>
      <c r="I15" s="382" t="str">
        <f t="shared" si="1"/>
        <v/>
      </c>
      <c r="J15" s="37"/>
      <c r="K15" s="58" t="str">
        <f t="shared" si="2"/>
        <v/>
      </c>
      <c r="L15" s="349" t="b">
        <f t="shared" si="3"/>
        <v>0</v>
      </c>
      <c r="M15" s="350">
        <f t="shared" si="4"/>
        <v>1</v>
      </c>
    </row>
    <row r="16" spans="1:13" ht="15.6" x14ac:dyDescent="0.3">
      <c r="A16" s="37">
        <v>5</v>
      </c>
      <c r="B16" s="6"/>
      <c r="C16" s="6"/>
      <c r="D16" s="6"/>
      <c r="E16" s="6"/>
      <c r="F16" s="6"/>
      <c r="G16" s="6"/>
      <c r="H16" s="421"/>
      <c r="I16" s="382" t="str">
        <f t="shared" si="1"/>
        <v/>
      </c>
      <c r="J16" s="37"/>
      <c r="K16" s="58" t="str">
        <f t="shared" si="2"/>
        <v/>
      </c>
      <c r="L16" s="349" t="b">
        <f t="shared" si="3"/>
        <v>0</v>
      </c>
      <c r="M16" s="350">
        <f t="shared" si="4"/>
        <v>1</v>
      </c>
    </row>
    <row r="17" spans="1:13" ht="15.6" x14ac:dyDescent="0.3">
      <c r="A17" s="37">
        <v>6</v>
      </c>
      <c r="B17" s="6"/>
      <c r="C17" s="6"/>
      <c r="D17" s="6"/>
      <c r="E17" s="6"/>
      <c r="F17" s="6"/>
      <c r="G17" s="6"/>
      <c r="H17" s="421"/>
      <c r="I17" s="382" t="str">
        <f t="shared" si="1"/>
        <v/>
      </c>
      <c r="J17" s="37"/>
      <c r="K17" s="58" t="str">
        <f t="shared" si="2"/>
        <v/>
      </c>
      <c r="L17" s="349" t="b">
        <f t="shared" si="3"/>
        <v>0</v>
      </c>
      <c r="M17" s="350">
        <f t="shared" si="4"/>
        <v>1</v>
      </c>
    </row>
    <row r="18" spans="1:13" ht="15.6" x14ac:dyDescent="0.3">
      <c r="A18" s="37">
        <v>7</v>
      </c>
      <c r="B18" s="6"/>
      <c r="C18" s="6"/>
      <c r="D18" s="6"/>
      <c r="E18" s="6"/>
      <c r="F18" s="6"/>
      <c r="G18" s="6"/>
      <c r="H18" s="421"/>
      <c r="I18" s="382" t="str">
        <f t="shared" si="1"/>
        <v/>
      </c>
      <c r="J18" s="37"/>
      <c r="K18" s="58" t="str">
        <f t="shared" si="2"/>
        <v/>
      </c>
      <c r="L18" s="349" t="b">
        <f t="shared" si="3"/>
        <v>0</v>
      </c>
      <c r="M18" s="350">
        <f t="shared" si="4"/>
        <v>1</v>
      </c>
    </row>
    <row r="19" spans="1:13" ht="15.6" x14ac:dyDescent="0.3">
      <c r="A19" s="37">
        <v>8</v>
      </c>
      <c r="B19" s="6"/>
      <c r="C19" s="6"/>
      <c r="D19" s="6"/>
      <c r="E19" s="6"/>
      <c r="F19" s="6"/>
      <c r="G19" s="6"/>
      <c r="H19" s="421"/>
      <c r="I19" s="382" t="str">
        <f t="shared" si="1"/>
        <v/>
      </c>
      <c r="J19" s="37"/>
      <c r="K19" s="58" t="str">
        <f t="shared" si="2"/>
        <v/>
      </c>
      <c r="L19" s="349" t="b">
        <f t="shared" si="3"/>
        <v>0</v>
      </c>
      <c r="M19" s="350">
        <f t="shared" si="4"/>
        <v>1</v>
      </c>
    </row>
    <row r="20" spans="1:13" ht="15.6" x14ac:dyDescent="0.3">
      <c r="A20" s="37">
        <v>9</v>
      </c>
      <c r="B20" s="6"/>
      <c r="C20" s="6"/>
      <c r="D20" s="6"/>
      <c r="E20" s="6"/>
      <c r="F20" s="6"/>
      <c r="G20" s="6"/>
      <c r="H20" s="421"/>
      <c r="I20" s="382" t="str">
        <f t="shared" si="1"/>
        <v/>
      </c>
      <c r="J20" s="37"/>
      <c r="K20" s="58" t="str">
        <f t="shared" si="2"/>
        <v/>
      </c>
      <c r="L20" s="349" t="b">
        <f t="shared" si="3"/>
        <v>0</v>
      </c>
      <c r="M20" s="350">
        <f t="shared" si="4"/>
        <v>1</v>
      </c>
    </row>
    <row r="21" spans="1:13" ht="15.6" x14ac:dyDescent="0.3">
      <c r="A21" s="37">
        <v>10</v>
      </c>
      <c r="B21" s="6"/>
      <c r="C21" s="6"/>
      <c r="D21" s="6"/>
      <c r="E21" s="6"/>
      <c r="F21" s="6"/>
      <c r="G21" s="6"/>
      <c r="H21" s="421"/>
      <c r="I21" s="382" t="str">
        <f t="shared" si="1"/>
        <v/>
      </c>
      <c r="J21" s="37"/>
      <c r="K21" s="58" t="str">
        <f t="shared" si="2"/>
        <v/>
      </c>
      <c r="L21" s="349" t="b">
        <f t="shared" si="3"/>
        <v>0</v>
      </c>
      <c r="M21" s="350">
        <f t="shared" si="4"/>
        <v>1</v>
      </c>
    </row>
    <row r="22" spans="1:13" ht="15.6" x14ac:dyDescent="0.3">
      <c r="A22" s="37">
        <v>11</v>
      </c>
      <c r="B22" s="6"/>
      <c r="C22" s="6"/>
      <c r="D22" s="6"/>
      <c r="E22" s="6"/>
      <c r="F22" s="6"/>
      <c r="G22" s="6"/>
      <c r="H22" s="421"/>
      <c r="I22" s="382" t="str">
        <f t="shared" si="1"/>
        <v/>
      </c>
      <c r="J22" s="37"/>
      <c r="K22" s="58" t="str">
        <f t="shared" si="2"/>
        <v/>
      </c>
      <c r="L22" s="349" t="b">
        <f t="shared" si="3"/>
        <v>0</v>
      </c>
      <c r="M22" s="350">
        <f t="shared" si="4"/>
        <v>1</v>
      </c>
    </row>
    <row r="23" spans="1:13" ht="15.6" x14ac:dyDescent="0.3">
      <c r="A23" s="37">
        <v>12</v>
      </c>
      <c r="B23" s="6"/>
      <c r="C23" s="6"/>
      <c r="D23" s="6"/>
      <c r="E23" s="6"/>
      <c r="F23" s="6"/>
      <c r="G23" s="6"/>
      <c r="H23" s="421"/>
      <c r="I23" s="382" t="str">
        <f t="shared" si="1"/>
        <v/>
      </c>
      <c r="J23" s="37"/>
      <c r="K23" s="58" t="str">
        <f t="shared" si="2"/>
        <v/>
      </c>
      <c r="L23" s="349" t="b">
        <f t="shared" si="3"/>
        <v>0</v>
      </c>
      <c r="M23" s="350">
        <f t="shared" si="4"/>
        <v>1</v>
      </c>
    </row>
    <row r="24" spans="1:13" ht="15.6" x14ac:dyDescent="0.3">
      <c r="A24" s="37">
        <v>13</v>
      </c>
      <c r="B24" s="6"/>
      <c r="C24" s="6"/>
      <c r="D24" s="6"/>
      <c r="E24" s="6"/>
      <c r="F24" s="6"/>
      <c r="G24" s="6"/>
      <c r="H24" s="421"/>
      <c r="I24" s="382" t="str">
        <f t="shared" si="1"/>
        <v/>
      </c>
      <c r="J24" s="37"/>
      <c r="K24" s="58" t="str">
        <f t="shared" si="2"/>
        <v/>
      </c>
      <c r="L24" s="349" t="b">
        <f t="shared" si="3"/>
        <v>0</v>
      </c>
      <c r="M24" s="350">
        <f t="shared" si="4"/>
        <v>1</v>
      </c>
    </row>
    <row r="25" spans="1:13" ht="15.6" x14ac:dyDescent="0.3">
      <c r="A25" s="37">
        <v>14</v>
      </c>
      <c r="B25" s="6"/>
      <c r="C25" s="6"/>
      <c r="D25" s="6"/>
      <c r="E25" s="6"/>
      <c r="F25" s="6"/>
      <c r="G25" s="6"/>
      <c r="H25" s="421"/>
      <c r="I25" s="382" t="str">
        <f t="shared" si="1"/>
        <v/>
      </c>
      <c r="J25" s="37"/>
      <c r="K25" s="58" t="str">
        <f t="shared" si="2"/>
        <v/>
      </c>
      <c r="L25" s="349" t="b">
        <f t="shared" si="3"/>
        <v>0</v>
      </c>
      <c r="M25" s="350">
        <f t="shared" si="4"/>
        <v>1</v>
      </c>
    </row>
    <row r="26" spans="1:13" ht="15.6" x14ac:dyDescent="0.3">
      <c r="A26" s="37">
        <v>15</v>
      </c>
      <c r="B26" s="6"/>
      <c r="C26" s="6"/>
      <c r="D26" s="6"/>
      <c r="E26" s="6"/>
      <c r="F26" s="6"/>
      <c r="G26" s="6"/>
      <c r="H26" s="421"/>
      <c r="I26" s="382" t="str">
        <f t="shared" si="1"/>
        <v/>
      </c>
      <c r="J26" s="37"/>
      <c r="K26" s="58" t="str">
        <f t="shared" si="2"/>
        <v/>
      </c>
      <c r="L26" s="349" t="b">
        <f t="shared" si="3"/>
        <v>0</v>
      </c>
      <c r="M26" s="350">
        <f t="shared" si="4"/>
        <v>1</v>
      </c>
    </row>
    <row r="27" spans="1:13" ht="15.6" x14ac:dyDescent="0.3">
      <c r="A27" s="37">
        <v>16</v>
      </c>
      <c r="B27" s="6"/>
      <c r="C27" s="6"/>
      <c r="D27" s="6"/>
      <c r="E27" s="6"/>
      <c r="F27" s="6"/>
      <c r="G27" s="6"/>
      <c r="H27" s="421"/>
      <c r="I27" s="382" t="str">
        <f t="shared" si="1"/>
        <v/>
      </c>
      <c r="J27" s="37"/>
      <c r="K27" s="58" t="str">
        <f t="shared" si="2"/>
        <v/>
      </c>
      <c r="L27" s="349" t="b">
        <f t="shared" si="3"/>
        <v>0</v>
      </c>
      <c r="M27" s="350">
        <f t="shared" si="4"/>
        <v>1</v>
      </c>
    </row>
    <row r="28" spans="1:13" ht="15.6" x14ac:dyDescent="0.3">
      <c r="A28" s="37">
        <v>17</v>
      </c>
      <c r="B28" s="6"/>
      <c r="C28" s="6"/>
      <c r="D28" s="6"/>
      <c r="E28" s="6"/>
      <c r="F28" s="6"/>
      <c r="G28" s="6"/>
      <c r="H28" s="421"/>
      <c r="I28" s="382" t="str">
        <f t="shared" si="1"/>
        <v/>
      </c>
      <c r="J28" s="37"/>
      <c r="K28" s="58" t="str">
        <f t="shared" si="2"/>
        <v/>
      </c>
      <c r="L28" s="349" t="b">
        <f t="shared" si="3"/>
        <v>0</v>
      </c>
      <c r="M28" s="350">
        <f t="shared" si="4"/>
        <v>1</v>
      </c>
    </row>
    <row r="29" spans="1:13" ht="15.6" x14ac:dyDescent="0.3">
      <c r="A29" s="37">
        <v>18</v>
      </c>
      <c r="B29" s="6"/>
      <c r="C29" s="6"/>
      <c r="D29" s="6"/>
      <c r="E29" s="6"/>
      <c r="F29" s="6"/>
      <c r="G29" s="6"/>
      <c r="H29" s="421"/>
      <c r="I29" s="382" t="str">
        <f t="shared" si="1"/>
        <v/>
      </c>
      <c r="J29" s="37"/>
      <c r="K29" s="58" t="str">
        <f t="shared" si="2"/>
        <v/>
      </c>
      <c r="L29" s="349" t="b">
        <f t="shared" si="3"/>
        <v>0</v>
      </c>
      <c r="M29" s="350">
        <f t="shared" si="4"/>
        <v>1</v>
      </c>
    </row>
    <row r="30" spans="1:13" ht="15.6" x14ac:dyDescent="0.3">
      <c r="A30" s="37">
        <v>19</v>
      </c>
      <c r="B30" s="6"/>
      <c r="C30" s="6"/>
      <c r="D30" s="6"/>
      <c r="E30" s="6"/>
      <c r="F30" s="6"/>
      <c r="G30" s="6"/>
      <c r="H30" s="421"/>
      <c r="I30" s="382" t="str">
        <f t="shared" si="1"/>
        <v/>
      </c>
      <c r="J30" s="37"/>
      <c r="K30" s="58" t="str">
        <f t="shared" si="2"/>
        <v/>
      </c>
      <c r="L30" s="349" t="b">
        <f t="shared" si="3"/>
        <v>0</v>
      </c>
      <c r="M30" s="350">
        <f t="shared" si="4"/>
        <v>1</v>
      </c>
    </row>
    <row r="31" spans="1:13" ht="15.6" x14ac:dyDescent="0.3">
      <c r="A31" s="37">
        <v>20</v>
      </c>
      <c r="B31" s="6"/>
      <c r="C31" s="6"/>
      <c r="D31" s="6"/>
      <c r="E31" s="6"/>
      <c r="F31" s="6"/>
      <c r="G31" s="6"/>
      <c r="H31" s="421"/>
      <c r="I31" s="382" t="str">
        <f t="shared" si="1"/>
        <v/>
      </c>
      <c r="J31" s="37"/>
      <c r="K31" s="58" t="str">
        <f t="shared" si="2"/>
        <v/>
      </c>
      <c r="L31" s="349" t="b">
        <f t="shared" si="3"/>
        <v>0</v>
      </c>
      <c r="M31" s="350">
        <f t="shared" si="4"/>
        <v>1</v>
      </c>
    </row>
    <row r="32" spans="1:13" ht="15.6" x14ac:dyDescent="0.3">
      <c r="A32" s="37">
        <v>21</v>
      </c>
      <c r="B32" s="6"/>
      <c r="C32" s="6"/>
      <c r="D32" s="6"/>
      <c r="E32" s="6"/>
      <c r="F32" s="6"/>
      <c r="G32" s="6"/>
      <c r="H32" s="421"/>
      <c r="I32" s="382" t="str">
        <f t="shared" si="1"/>
        <v/>
      </c>
      <c r="J32" s="37"/>
      <c r="K32" s="58" t="str">
        <f t="shared" si="2"/>
        <v/>
      </c>
      <c r="L32" s="349" t="b">
        <f t="shared" si="3"/>
        <v>0</v>
      </c>
      <c r="M32" s="350">
        <f t="shared" si="4"/>
        <v>1</v>
      </c>
    </row>
    <row r="33" spans="1:13" ht="15.6" x14ac:dyDescent="0.3">
      <c r="A33" s="37">
        <v>22</v>
      </c>
      <c r="B33" s="6"/>
      <c r="C33" s="6"/>
      <c r="D33" s="6"/>
      <c r="E33" s="6"/>
      <c r="F33" s="6"/>
      <c r="G33" s="6"/>
      <c r="H33" s="421"/>
      <c r="I33" s="382" t="str">
        <f t="shared" si="1"/>
        <v/>
      </c>
      <c r="J33" s="37"/>
      <c r="K33" s="58" t="str">
        <f t="shared" si="2"/>
        <v/>
      </c>
      <c r="L33" s="349" t="b">
        <f t="shared" si="3"/>
        <v>0</v>
      </c>
      <c r="M33" s="350">
        <f t="shared" si="4"/>
        <v>1</v>
      </c>
    </row>
    <row r="34" spans="1:13" ht="15.6" x14ac:dyDescent="0.3">
      <c r="A34" s="37">
        <v>23</v>
      </c>
      <c r="B34" s="6"/>
      <c r="C34" s="6"/>
      <c r="D34" s="6"/>
      <c r="E34" s="6"/>
      <c r="F34" s="6"/>
      <c r="G34" s="6"/>
      <c r="H34" s="421"/>
      <c r="I34" s="382" t="str">
        <f t="shared" si="1"/>
        <v/>
      </c>
      <c r="J34" s="37"/>
      <c r="K34" s="58" t="str">
        <f t="shared" si="2"/>
        <v/>
      </c>
      <c r="L34" s="349" t="b">
        <f t="shared" si="3"/>
        <v>0</v>
      </c>
      <c r="M34" s="350">
        <f t="shared" si="4"/>
        <v>1</v>
      </c>
    </row>
    <row r="35" spans="1:13" ht="15.6" x14ac:dyDescent="0.3">
      <c r="A35" s="37">
        <v>24</v>
      </c>
      <c r="B35" s="6"/>
      <c r="C35" s="6"/>
      <c r="D35" s="6"/>
      <c r="E35" s="6"/>
      <c r="F35" s="6"/>
      <c r="G35" s="6"/>
      <c r="H35" s="421"/>
      <c r="I35" s="382" t="str">
        <f t="shared" si="1"/>
        <v/>
      </c>
      <c r="J35" s="37"/>
      <c r="K35" s="58" t="str">
        <f t="shared" si="2"/>
        <v/>
      </c>
      <c r="L35" s="349" t="b">
        <f t="shared" si="3"/>
        <v>0</v>
      </c>
      <c r="M35" s="350">
        <f t="shared" si="4"/>
        <v>1</v>
      </c>
    </row>
    <row r="36" spans="1:13" x14ac:dyDescent="0.25">
      <c r="A36" s="37">
        <v>25</v>
      </c>
      <c r="B36" s="6"/>
      <c r="C36" s="6"/>
      <c r="D36" s="6"/>
      <c r="E36" s="6"/>
      <c r="F36" s="6"/>
      <c r="G36" s="6"/>
      <c r="H36" s="421"/>
      <c r="I36" s="382" t="str">
        <f t="shared" si="1"/>
        <v/>
      </c>
      <c r="J36" s="37"/>
      <c r="K36" s="58" t="str">
        <f t="shared" si="2"/>
        <v/>
      </c>
      <c r="L36" s="349" t="b">
        <f t="shared" si="3"/>
        <v>0</v>
      </c>
      <c r="M36" s="350">
        <f t="shared" si="4"/>
        <v>1</v>
      </c>
    </row>
    <row r="37" spans="1:13" x14ac:dyDescent="0.25">
      <c r="A37" s="37">
        <v>26</v>
      </c>
      <c r="B37" s="6"/>
      <c r="C37" s="6"/>
      <c r="D37" s="6"/>
      <c r="E37" s="6"/>
      <c r="F37" s="6"/>
      <c r="G37" s="6"/>
      <c r="H37" s="421"/>
      <c r="I37" s="382" t="str">
        <f t="shared" si="1"/>
        <v/>
      </c>
      <c r="J37" s="37"/>
      <c r="K37" s="58" t="str">
        <f t="shared" si="2"/>
        <v/>
      </c>
      <c r="L37" s="349" t="b">
        <f t="shared" si="3"/>
        <v>0</v>
      </c>
      <c r="M37" s="350">
        <f t="shared" si="4"/>
        <v>1</v>
      </c>
    </row>
    <row r="38" spans="1:13" x14ac:dyDescent="0.25">
      <c r="A38" s="37">
        <v>27</v>
      </c>
      <c r="B38" s="6"/>
      <c r="C38" s="6"/>
      <c r="D38" s="6"/>
      <c r="E38" s="6"/>
      <c r="F38" s="6"/>
      <c r="G38" s="6"/>
      <c r="H38" s="421"/>
      <c r="I38" s="382" t="str">
        <f t="shared" si="1"/>
        <v/>
      </c>
      <c r="J38" s="37"/>
      <c r="K38" s="58" t="str">
        <f t="shared" si="2"/>
        <v/>
      </c>
      <c r="L38" s="349" t="b">
        <f t="shared" si="3"/>
        <v>0</v>
      </c>
      <c r="M38" s="350">
        <f t="shared" si="4"/>
        <v>1</v>
      </c>
    </row>
    <row r="39" spans="1:13" x14ac:dyDescent="0.25">
      <c r="A39" s="37">
        <v>28</v>
      </c>
      <c r="B39" s="6"/>
      <c r="C39" s="6"/>
      <c r="D39" s="6"/>
      <c r="E39" s="6"/>
      <c r="F39" s="6"/>
      <c r="G39" s="6"/>
      <c r="H39" s="421"/>
      <c r="I39" s="382" t="str">
        <f t="shared" si="1"/>
        <v/>
      </c>
      <c r="J39" s="37"/>
      <c r="K39" s="58" t="str">
        <f t="shared" si="2"/>
        <v/>
      </c>
      <c r="L39" s="349" t="b">
        <f t="shared" si="3"/>
        <v>0</v>
      </c>
      <c r="M39" s="350">
        <f t="shared" si="4"/>
        <v>1</v>
      </c>
    </row>
    <row r="40" spans="1:13" x14ac:dyDescent="0.25">
      <c r="A40" s="37">
        <v>29</v>
      </c>
      <c r="B40" s="6"/>
      <c r="C40" s="6"/>
      <c r="D40" s="6"/>
      <c r="E40" s="6"/>
      <c r="F40" s="6"/>
      <c r="G40" s="6"/>
      <c r="H40" s="421"/>
      <c r="I40" s="382" t="str">
        <f t="shared" si="1"/>
        <v/>
      </c>
      <c r="J40" s="37"/>
      <c r="K40" s="58" t="str">
        <f t="shared" si="2"/>
        <v/>
      </c>
      <c r="L40" s="349" t="b">
        <f t="shared" si="3"/>
        <v>0</v>
      </c>
      <c r="M40" s="350">
        <f t="shared" si="4"/>
        <v>1</v>
      </c>
    </row>
    <row r="41" spans="1:13" x14ac:dyDescent="0.25">
      <c r="A41" s="37">
        <v>30</v>
      </c>
      <c r="B41" s="6"/>
      <c r="C41" s="6"/>
      <c r="D41" s="6"/>
      <c r="E41" s="6"/>
      <c r="F41" s="6"/>
      <c r="G41" s="6"/>
      <c r="H41" s="421"/>
      <c r="I41" s="382" t="str">
        <f t="shared" si="1"/>
        <v/>
      </c>
      <c r="J41" s="37"/>
      <c r="K41" s="58" t="str">
        <f t="shared" si="2"/>
        <v/>
      </c>
      <c r="L41" s="349" t="b">
        <f t="shared" si="3"/>
        <v>0</v>
      </c>
      <c r="M41" s="350">
        <f t="shared" si="4"/>
        <v>1</v>
      </c>
    </row>
    <row r="42" spans="1:13" x14ac:dyDescent="0.25">
      <c r="A42" s="37">
        <v>31</v>
      </c>
      <c r="B42" s="6"/>
      <c r="C42" s="6"/>
      <c r="D42" s="6"/>
      <c r="E42" s="6"/>
      <c r="F42" s="6"/>
      <c r="G42" s="6"/>
      <c r="H42" s="421"/>
      <c r="I42" s="382" t="str">
        <f t="shared" si="1"/>
        <v/>
      </c>
      <c r="J42" s="37"/>
      <c r="K42" s="58" t="str">
        <f t="shared" si="2"/>
        <v/>
      </c>
      <c r="L42" s="349" t="b">
        <f t="shared" si="3"/>
        <v>0</v>
      </c>
      <c r="M42" s="350">
        <f t="shared" si="4"/>
        <v>1</v>
      </c>
    </row>
    <row r="43" spans="1:13" x14ac:dyDescent="0.25">
      <c r="A43" s="37">
        <v>32</v>
      </c>
      <c r="B43" s="6"/>
      <c r="C43" s="6"/>
      <c r="D43" s="6"/>
      <c r="E43" s="6"/>
      <c r="F43" s="6"/>
      <c r="G43" s="6"/>
      <c r="H43" s="421"/>
      <c r="I43" s="382" t="str">
        <f t="shared" si="1"/>
        <v/>
      </c>
      <c r="J43" s="37"/>
      <c r="K43" s="58" t="str">
        <f t="shared" si="2"/>
        <v/>
      </c>
      <c r="L43" s="349" t="b">
        <f t="shared" si="3"/>
        <v>0</v>
      </c>
      <c r="M43" s="350">
        <f t="shared" si="4"/>
        <v>1</v>
      </c>
    </row>
    <row r="44" spans="1:13" x14ac:dyDescent="0.25">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1"/>
      <c r="I45" s="382" t="str">
        <f t="shared" si="1"/>
        <v/>
      </c>
      <c r="J45" s="37"/>
      <c r="K45" s="58" t="str">
        <f t="shared" si="5"/>
        <v/>
      </c>
      <c r="L45" s="349" t="b">
        <f t="shared" si="3"/>
        <v>0</v>
      </c>
      <c r="M45" s="350">
        <f t="shared" si="6"/>
        <v>1</v>
      </c>
    </row>
    <row r="46" spans="1:13" x14ac:dyDescent="0.25">
      <c r="A46" s="37">
        <v>35</v>
      </c>
      <c r="B46" s="6"/>
      <c r="C46" s="6"/>
      <c r="D46" s="6"/>
      <c r="E46" s="6"/>
      <c r="F46" s="6"/>
      <c r="G46" s="6"/>
      <c r="H46" s="421"/>
      <c r="I46" s="382" t="str">
        <f t="shared" si="1"/>
        <v/>
      </c>
      <c r="J46" s="37"/>
      <c r="K46" s="58" t="str">
        <f t="shared" si="5"/>
        <v/>
      </c>
      <c r="L46" s="349" t="b">
        <f t="shared" si="3"/>
        <v>0</v>
      </c>
      <c r="M46" s="350">
        <f t="shared" si="6"/>
        <v>1</v>
      </c>
    </row>
    <row r="47" spans="1:13" x14ac:dyDescent="0.25">
      <c r="A47" s="37">
        <v>36</v>
      </c>
      <c r="B47" s="6"/>
      <c r="C47" s="6"/>
      <c r="D47" s="6"/>
      <c r="E47" s="6"/>
      <c r="F47" s="6"/>
      <c r="G47" s="6"/>
      <c r="H47" s="421"/>
      <c r="I47" s="382" t="str">
        <f t="shared" si="1"/>
        <v/>
      </c>
      <c r="J47" s="37"/>
      <c r="K47" s="58" t="str">
        <f t="shared" si="5"/>
        <v/>
      </c>
      <c r="L47" s="349" t="b">
        <f t="shared" si="3"/>
        <v>0</v>
      </c>
      <c r="M47" s="350">
        <f t="shared" si="6"/>
        <v>1</v>
      </c>
    </row>
    <row r="48" spans="1:13" x14ac:dyDescent="0.25">
      <c r="A48" s="37">
        <v>37</v>
      </c>
      <c r="B48" s="6"/>
      <c r="C48" s="6"/>
      <c r="D48" s="6"/>
      <c r="E48" s="6"/>
      <c r="F48" s="6"/>
      <c r="G48" s="6"/>
      <c r="H48" s="421"/>
      <c r="I48" s="382" t="str">
        <f t="shared" si="1"/>
        <v/>
      </c>
      <c r="J48" s="37"/>
      <c r="K48" s="58" t="str">
        <f t="shared" si="5"/>
        <v/>
      </c>
      <c r="L48" s="349" t="b">
        <f t="shared" si="3"/>
        <v>0</v>
      </c>
      <c r="M48" s="350">
        <f t="shared" si="6"/>
        <v>1</v>
      </c>
    </row>
    <row r="49" spans="1:13" x14ac:dyDescent="0.25">
      <c r="A49" s="37">
        <v>38</v>
      </c>
      <c r="B49" s="6"/>
      <c r="C49" s="6"/>
      <c r="D49" s="6"/>
      <c r="E49" s="6"/>
      <c r="F49" s="6"/>
      <c r="G49" s="6"/>
      <c r="H49" s="421"/>
      <c r="I49" s="382" t="str">
        <f t="shared" si="1"/>
        <v/>
      </c>
      <c r="J49" s="37"/>
      <c r="K49" s="58" t="str">
        <f t="shared" si="5"/>
        <v/>
      </c>
      <c r="L49" s="349" t="b">
        <f t="shared" si="3"/>
        <v>0</v>
      </c>
      <c r="M49" s="350">
        <f t="shared" si="6"/>
        <v>1</v>
      </c>
    </row>
    <row r="50" spans="1:13" x14ac:dyDescent="0.25">
      <c r="A50" s="37">
        <v>39</v>
      </c>
      <c r="B50" s="6"/>
      <c r="C50" s="6"/>
      <c r="D50" s="6"/>
      <c r="E50" s="6"/>
      <c r="F50" s="6"/>
      <c r="G50" s="6"/>
      <c r="H50" s="421"/>
      <c r="I50" s="382" t="str">
        <f t="shared" si="1"/>
        <v/>
      </c>
      <c r="J50" s="37"/>
      <c r="K50" s="58" t="str">
        <f t="shared" si="5"/>
        <v/>
      </c>
      <c r="L50" s="349" t="b">
        <f t="shared" si="3"/>
        <v>0</v>
      </c>
      <c r="M50" s="350">
        <f t="shared" si="6"/>
        <v>1</v>
      </c>
    </row>
    <row r="51" spans="1:13" x14ac:dyDescent="0.25">
      <c r="A51" s="37">
        <v>40</v>
      </c>
      <c r="B51" s="6"/>
      <c r="C51" s="6"/>
      <c r="D51" s="6"/>
      <c r="E51" s="6"/>
      <c r="F51" s="6"/>
      <c r="G51" s="6"/>
      <c r="H51" s="421"/>
      <c r="I51" s="382" t="str">
        <f t="shared" si="1"/>
        <v/>
      </c>
      <c r="J51" s="37"/>
      <c r="K51" s="58" t="str">
        <f t="shared" si="5"/>
        <v/>
      </c>
      <c r="L51" s="349" t="b">
        <f t="shared" si="3"/>
        <v>0</v>
      </c>
      <c r="M51" s="350">
        <f t="shared" si="6"/>
        <v>1</v>
      </c>
    </row>
    <row r="52" spans="1:13" x14ac:dyDescent="0.25">
      <c r="A52" s="37">
        <v>41</v>
      </c>
      <c r="B52" s="6"/>
      <c r="C52" s="6"/>
      <c r="D52" s="6"/>
      <c r="E52" s="6"/>
      <c r="F52" s="6"/>
      <c r="G52" s="6"/>
      <c r="H52" s="421"/>
      <c r="I52" s="382" t="str">
        <f t="shared" si="1"/>
        <v/>
      </c>
      <c r="J52" s="37"/>
      <c r="K52" s="58" t="str">
        <f t="shared" si="5"/>
        <v/>
      </c>
      <c r="L52" s="349" t="b">
        <f t="shared" si="3"/>
        <v>0</v>
      </c>
      <c r="M52" s="350">
        <f t="shared" si="6"/>
        <v>1</v>
      </c>
    </row>
    <row r="53" spans="1:13" x14ac:dyDescent="0.25">
      <c r="A53" s="37">
        <v>42</v>
      </c>
      <c r="B53" s="6"/>
      <c r="C53" s="6"/>
      <c r="D53" s="6"/>
      <c r="E53" s="6"/>
      <c r="F53" s="6"/>
      <c r="G53" s="6"/>
      <c r="H53" s="421"/>
      <c r="I53" s="382" t="str">
        <f t="shared" si="1"/>
        <v/>
      </c>
      <c r="J53" s="37"/>
      <c r="K53" s="58" t="str">
        <f t="shared" si="5"/>
        <v/>
      </c>
      <c r="L53" s="349" t="b">
        <f t="shared" si="3"/>
        <v>0</v>
      </c>
      <c r="M53" s="350">
        <f t="shared" si="6"/>
        <v>1</v>
      </c>
    </row>
    <row r="54" spans="1:13" x14ac:dyDescent="0.25">
      <c r="A54" s="37">
        <v>43</v>
      </c>
      <c r="B54" s="6"/>
      <c r="C54" s="6"/>
      <c r="D54" s="6"/>
      <c r="E54" s="6"/>
      <c r="F54" s="6"/>
      <c r="G54" s="6"/>
      <c r="H54" s="421"/>
      <c r="I54" s="382" t="str">
        <f t="shared" si="1"/>
        <v/>
      </c>
      <c r="J54" s="37"/>
      <c r="K54" s="58" t="str">
        <f t="shared" si="5"/>
        <v/>
      </c>
      <c r="L54" s="349" t="b">
        <f t="shared" si="3"/>
        <v>0</v>
      </c>
      <c r="M54" s="350">
        <f t="shared" si="6"/>
        <v>1</v>
      </c>
    </row>
    <row r="55" spans="1:13" x14ac:dyDescent="0.25">
      <c r="A55" s="37">
        <v>44</v>
      </c>
      <c r="B55" s="6"/>
      <c r="C55" s="6"/>
      <c r="D55" s="6"/>
      <c r="E55" s="6"/>
      <c r="F55" s="6"/>
      <c r="G55" s="6"/>
      <c r="H55" s="421"/>
      <c r="I55" s="382" t="str">
        <f t="shared" si="1"/>
        <v/>
      </c>
      <c r="J55" s="37"/>
      <c r="K55" s="58" t="str">
        <f t="shared" si="5"/>
        <v/>
      </c>
      <c r="L55" s="349" t="b">
        <f t="shared" si="3"/>
        <v>0</v>
      </c>
      <c r="M55" s="350">
        <f t="shared" si="6"/>
        <v>1</v>
      </c>
    </row>
    <row r="56" spans="1:13" x14ac:dyDescent="0.25">
      <c r="A56" s="37">
        <v>45</v>
      </c>
      <c r="B56" s="6"/>
      <c r="C56" s="6"/>
      <c r="D56" s="6"/>
      <c r="E56" s="6"/>
      <c r="F56" s="6"/>
      <c r="G56" s="6"/>
      <c r="H56" s="421"/>
      <c r="I56" s="382" t="str">
        <f t="shared" si="1"/>
        <v/>
      </c>
      <c r="J56" s="37"/>
      <c r="K56" s="58" t="str">
        <f t="shared" si="5"/>
        <v/>
      </c>
      <c r="L56" s="349" t="b">
        <f t="shared" si="3"/>
        <v>0</v>
      </c>
      <c r="M56" s="350">
        <f t="shared" si="6"/>
        <v>1</v>
      </c>
    </row>
    <row r="57" spans="1:13" x14ac:dyDescent="0.25">
      <c r="A57" s="37">
        <v>46</v>
      </c>
      <c r="B57" s="6"/>
      <c r="C57" s="6"/>
      <c r="D57" s="6"/>
      <c r="E57" s="6"/>
      <c r="F57" s="6"/>
      <c r="G57" s="6"/>
      <c r="H57" s="421"/>
      <c r="I57" s="382" t="str">
        <f t="shared" si="1"/>
        <v/>
      </c>
      <c r="J57" s="37"/>
      <c r="K57" s="58" t="str">
        <f t="shared" si="5"/>
        <v/>
      </c>
      <c r="L57" s="349" t="b">
        <f t="shared" si="3"/>
        <v>0</v>
      </c>
      <c r="M57" s="350">
        <f t="shared" si="6"/>
        <v>1</v>
      </c>
    </row>
    <row r="58" spans="1:13" x14ac:dyDescent="0.25">
      <c r="A58" s="37">
        <v>47</v>
      </c>
      <c r="B58" s="6"/>
      <c r="C58" s="6"/>
      <c r="D58" s="6"/>
      <c r="E58" s="6"/>
      <c r="F58" s="6"/>
      <c r="G58" s="6"/>
      <c r="H58" s="421"/>
      <c r="I58" s="382" t="str">
        <f t="shared" si="1"/>
        <v/>
      </c>
      <c r="J58" s="37"/>
      <c r="K58" s="58" t="str">
        <f t="shared" si="5"/>
        <v/>
      </c>
      <c r="L58" s="349" t="b">
        <f t="shared" si="3"/>
        <v>0</v>
      </c>
      <c r="M58" s="350">
        <f t="shared" si="6"/>
        <v>1</v>
      </c>
    </row>
    <row r="59" spans="1:13" x14ac:dyDescent="0.25">
      <c r="A59" s="37">
        <v>48</v>
      </c>
      <c r="B59" s="6"/>
      <c r="C59" s="6"/>
      <c r="D59" s="6"/>
      <c r="E59" s="6"/>
      <c r="F59" s="6"/>
      <c r="G59" s="6"/>
      <c r="H59" s="421"/>
      <c r="I59" s="382" t="str">
        <f t="shared" si="1"/>
        <v/>
      </c>
      <c r="J59" s="37"/>
      <c r="K59" s="58" t="str">
        <f t="shared" si="5"/>
        <v/>
      </c>
      <c r="L59" s="349" t="b">
        <f t="shared" si="3"/>
        <v>0</v>
      </c>
      <c r="M59" s="350">
        <f t="shared" si="6"/>
        <v>1</v>
      </c>
    </row>
    <row r="60" spans="1:13" x14ac:dyDescent="0.25">
      <c r="A60" s="37">
        <v>49</v>
      </c>
      <c r="B60" s="6"/>
      <c r="C60" s="6"/>
      <c r="D60" s="6"/>
      <c r="E60" s="6"/>
      <c r="F60" s="6"/>
      <c r="G60" s="6"/>
      <c r="H60" s="421"/>
      <c r="I60" s="382" t="str">
        <f t="shared" si="1"/>
        <v/>
      </c>
      <c r="J60" s="37"/>
      <c r="K60" s="58" t="str">
        <f t="shared" si="5"/>
        <v/>
      </c>
      <c r="L60" s="349" t="b">
        <f t="shared" si="3"/>
        <v>0</v>
      </c>
      <c r="M60" s="350">
        <f t="shared" si="6"/>
        <v>1</v>
      </c>
    </row>
    <row r="61" spans="1:13" x14ac:dyDescent="0.25">
      <c r="A61" s="37">
        <v>50</v>
      </c>
      <c r="B61" s="6"/>
      <c r="C61" s="6"/>
      <c r="D61" s="6"/>
      <c r="E61" s="6"/>
      <c r="F61" s="6"/>
      <c r="G61" s="6"/>
      <c r="H61" s="421"/>
      <c r="I61" s="382" t="str">
        <f t="shared" si="1"/>
        <v/>
      </c>
      <c r="J61" s="37"/>
      <c r="K61" s="58" t="str">
        <f t="shared" si="5"/>
        <v/>
      </c>
      <c r="L61" s="349" t="b">
        <f t="shared" si="3"/>
        <v>0</v>
      </c>
      <c r="M61" s="350">
        <f t="shared" si="6"/>
        <v>1</v>
      </c>
    </row>
    <row r="62" spans="1:13" x14ac:dyDescent="0.25">
      <c r="A62" s="37">
        <v>51</v>
      </c>
      <c r="B62" s="6"/>
      <c r="C62" s="6"/>
      <c r="D62" s="6"/>
      <c r="E62" s="6"/>
      <c r="F62" s="6"/>
      <c r="G62" s="6"/>
      <c r="H62" s="421"/>
      <c r="I62" s="382" t="str">
        <f t="shared" si="1"/>
        <v/>
      </c>
      <c r="J62" s="37"/>
      <c r="K62" s="58" t="str">
        <f t="shared" si="5"/>
        <v/>
      </c>
      <c r="L62" s="349" t="b">
        <f t="shared" si="3"/>
        <v>0</v>
      </c>
      <c r="M62" s="350">
        <f t="shared" si="6"/>
        <v>1</v>
      </c>
    </row>
    <row r="63" spans="1:13" x14ac:dyDescent="0.25">
      <c r="A63" s="37">
        <v>52</v>
      </c>
      <c r="B63" s="6"/>
      <c r="C63" s="6"/>
      <c r="D63" s="6"/>
      <c r="E63" s="6"/>
      <c r="F63" s="6"/>
      <c r="G63" s="6"/>
      <c r="H63" s="421"/>
      <c r="I63" s="382" t="str">
        <f t="shared" si="1"/>
        <v/>
      </c>
      <c r="J63" s="37"/>
      <c r="K63" s="58" t="str">
        <f t="shared" si="5"/>
        <v/>
      </c>
      <c r="L63" s="349" t="b">
        <f t="shared" si="3"/>
        <v>0</v>
      </c>
      <c r="M63" s="350">
        <f t="shared" si="6"/>
        <v>1</v>
      </c>
    </row>
    <row r="64" spans="1:13" x14ac:dyDescent="0.25">
      <c r="A64" s="37">
        <v>53</v>
      </c>
      <c r="B64" s="6"/>
      <c r="C64" s="6"/>
      <c r="D64" s="6"/>
      <c r="E64" s="6"/>
      <c r="F64" s="6"/>
      <c r="G64" s="6"/>
      <c r="H64" s="421"/>
      <c r="I64" s="382" t="str">
        <f t="shared" si="1"/>
        <v/>
      </c>
      <c r="J64" s="37"/>
      <c r="K64" s="58" t="str">
        <f t="shared" si="5"/>
        <v/>
      </c>
      <c r="L64" s="349" t="b">
        <f t="shared" si="3"/>
        <v>0</v>
      </c>
      <c r="M64" s="350">
        <f t="shared" si="6"/>
        <v>1</v>
      </c>
    </row>
    <row r="65" spans="1:13" x14ac:dyDescent="0.25">
      <c r="A65" s="37">
        <v>54</v>
      </c>
      <c r="B65" s="6"/>
      <c r="C65" s="6"/>
      <c r="D65" s="6"/>
      <c r="E65" s="6"/>
      <c r="F65" s="6"/>
      <c r="G65" s="6"/>
      <c r="H65" s="421"/>
      <c r="I65" s="382" t="str">
        <f t="shared" si="1"/>
        <v/>
      </c>
      <c r="J65" s="37"/>
      <c r="K65" s="58" t="str">
        <f t="shared" si="5"/>
        <v/>
      </c>
      <c r="L65" s="349" t="b">
        <f t="shared" si="3"/>
        <v>0</v>
      </c>
      <c r="M65" s="350">
        <f t="shared" si="6"/>
        <v>1</v>
      </c>
    </row>
    <row r="66" spans="1:13" x14ac:dyDescent="0.25">
      <c r="A66" s="37">
        <v>55</v>
      </c>
      <c r="B66" s="6"/>
      <c r="C66" s="6"/>
      <c r="D66" s="6"/>
      <c r="E66" s="6"/>
      <c r="F66" s="6"/>
      <c r="G66" s="6"/>
      <c r="H66" s="421"/>
      <c r="I66" s="382" t="str">
        <f t="shared" si="1"/>
        <v/>
      </c>
      <c r="J66" s="37"/>
      <c r="K66" s="58" t="str">
        <f t="shared" si="5"/>
        <v/>
      </c>
      <c r="L66" s="349" t="b">
        <f t="shared" si="3"/>
        <v>0</v>
      </c>
      <c r="M66" s="350">
        <f t="shared" si="6"/>
        <v>1</v>
      </c>
    </row>
    <row r="67" spans="1:13" x14ac:dyDescent="0.25">
      <c r="A67" s="37">
        <v>56</v>
      </c>
      <c r="B67" s="6"/>
      <c r="C67" s="6"/>
      <c r="D67" s="6"/>
      <c r="E67" s="6"/>
      <c r="F67" s="6"/>
      <c r="G67" s="6"/>
      <c r="H67" s="421"/>
      <c r="I67" s="382" t="str">
        <f t="shared" si="1"/>
        <v/>
      </c>
      <c r="J67" s="37"/>
      <c r="K67" s="58" t="str">
        <f t="shared" si="5"/>
        <v/>
      </c>
      <c r="L67" s="349" t="b">
        <f t="shared" si="3"/>
        <v>0</v>
      </c>
      <c r="M67" s="350">
        <f t="shared" si="6"/>
        <v>1</v>
      </c>
    </row>
    <row r="68" spans="1:13" x14ac:dyDescent="0.25">
      <c r="A68" s="37">
        <v>57</v>
      </c>
      <c r="B68" s="6"/>
      <c r="C68" s="6"/>
      <c r="D68" s="6"/>
      <c r="E68" s="6"/>
      <c r="F68" s="6"/>
      <c r="G68" s="6"/>
      <c r="H68" s="421"/>
      <c r="I68" s="382" t="str">
        <f t="shared" si="1"/>
        <v/>
      </c>
      <c r="J68" s="37"/>
      <c r="K68" s="58" t="str">
        <f t="shared" si="5"/>
        <v/>
      </c>
      <c r="L68" s="349" t="b">
        <f t="shared" si="3"/>
        <v>0</v>
      </c>
      <c r="M68" s="350">
        <f t="shared" si="6"/>
        <v>1</v>
      </c>
    </row>
    <row r="69" spans="1:13" x14ac:dyDescent="0.25">
      <c r="A69" s="37">
        <v>58</v>
      </c>
      <c r="B69" s="6"/>
      <c r="C69" s="6"/>
      <c r="D69" s="6"/>
      <c r="E69" s="6"/>
      <c r="F69" s="6"/>
      <c r="G69" s="6"/>
      <c r="H69" s="421"/>
      <c r="I69" s="382" t="str">
        <f t="shared" si="1"/>
        <v/>
      </c>
      <c r="J69" s="37"/>
      <c r="K69" s="58" t="str">
        <f t="shared" si="5"/>
        <v/>
      </c>
      <c r="L69" s="349" t="b">
        <f t="shared" si="3"/>
        <v>0</v>
      </c>
      <c r="M69" s="350">
        <f t="shared" si="6"/>
        <v>1</v>
      </c>
    </row>
    <row r="70" spans="1:13" x14ac:dyDescent="0.25">
      <c r="A70" s="37">
        <v>59</v>
      </c>
      <c r="B70" s="6"/>
      <c r="C70" s="6"/>
      <c r="D70" s="6"/>
      <c r="E70" s="6"/>
      <c r="F70" s="6"/>
      <c r="G70" s="6"/>
      <c r="H70" s="421"/>
      <c r="I70" s="382" t="str">
        <f t="shared" si="1"/>
        <v/>
      </c>
      <c r="J70" s="37"/>
      <c r="K70" s="58" t="str">
        <f t="shared" si="5"/>
        <v/>
      </c>
      <c r="L70" s="349" t="b">
        <f t="shared" si="3"/>
        <v>0</v>
      </c>
      <c r="M70" s="350">
        <f t="shared" si="6"/>
        <v>1</v>
      </c>
    </row>
    <row r="71" spans="1:13" x14ac:dyDescent="0.25">
      <c r="A71" s="37">
        <v>60</v>
      </c>
      <c r="B71" s="6"/>
      <c r="C71" s="6"/>
      <c r="D71" s="6"/>
      <c r="E71" s="6"/>
      <c r="F71" s="6"/>
      <c r="G71" s="6"/>
      <c r="H71" s="421"/>
      <c r="I71" s="382" t="str">
        <f t="shared" si="1"/>
        <v/>
      </c>
      <c r="J71" s="37"/>
      <c r="K71" s="58" t="str">
        <f t="shared" si="5"/>
        <v/>
      </c>
      <c r="L71" s="349" t="b">
        <f t="shared" si="3"/>
        <v>0</v>
      </c>
      <c r="M71" s="350">
        <f t="shared" si="6"/>
        <v>1</v>
      </c>
    </row>
    <row r="72" spans="1:13" x14ac:dyDescent="0.25">
      <c r="A72" s="37">
        <v>61</v>
      </c>
      <c r="B72" s="6"/>
      <c r="C72" s="6"/>
      <c r="D72" s="6"/>
      <c r="E72" s="6"/>
      <c r="F72" s="6"/>
      <c r="G72" s="6"/>
      <c r="H72" s="421"/>
      <c r="I72" s="382" t="str">
        <f t="shared" si="1"/>
        <v/>
      </c>
      <c r="J72" s="37"/>
      <c r="K72" s="58" t="str">
        <f t="shared" si="5"/>
        <v/>
      </c>
      <c r="L72" s="349" t="b">
        <f t="shared" si="3"/>
        <v>0</v>
      </c>
      <c r="M72" s="350">
        <f t="shared" si="6"/>
        <v>1</v>
      </c>
    </row>
    <row r="73" spans="1:13" x14ac:dyDescent="0.25">
      <c r="A73" s="37">
        <v>62</v>
      </c>
      <c r="B73" s="6"/>
      <c r="C73" s="6"/>
      <c r="D73" s="6"/>
      <c r="E73" s="6"/>
      <c r="F73" s="6"/>
      <c r="G73" s="6"/>
      <c r="H73" s="421"/>
      <c r="I73" s="382" t="str">
        <f t="shared" si="1"/>
        <v/>
      </c>
      <c r="J73" s="37"/>
      <c r="K73" s="58" t="str">
        <f t="shared" si="5"/>
        <v/>
      </c>
      <c r="L73" s="349" t="b">
        <f t="shared" si="3"/>
        <v>0</v>
      </c>
      <c r="M73" s="350">
        <f t="shared" si="6"/>
        <v>1</v>
      </c>
    </row>
    <row r="74" spans="1:13" x14ac:dyDescent="0.25">
      <c r="A74" s="37">
        <v>63</v>
      </c>
      <c r="B74" s="6"/>
      <c r="C74" s="6"/>
      <c r="D74" s="6"/>
      <c r="E74" s="6"/>
      <c r="F74" s="6"/>
      <c r="G74" s="6"/>
      <c r="H74" s="421"/>
      <c r="I74" s="382" t="str">
        <f t="shared" si="1"/>
        <v/>
      </c>
      <c r="J74" s="37"/>
      <c r="K74" s="58" t="str">
        <f t="shared" si="5"/>
        <v/>
      </c>
      <c r="L74" s="349" t="b">
        <f t="shared" si="3"/>
        <v>0</v>
      </c>
      <c r="M74" s="350">
        <f t="shared" si="6"/>
        <v>1</v>
      </c>
    </row>
    <row r="75" spans="1:13" x14ac:dyDescent="0.25">
      <c r="A75" s="37">
        <v>64</v>
      </c>
      <c r="B75" s="6"/>
      <c r="C75" s="6"/>
      <c r="D75" s="6"/>
      <c r="E75" s="6"/>
      <c r="F75" s="6"/>
      <c r="G75" s="6"/>
      <c r="H75" s="421"/>
      <c r="I75" s="382" t="str">
        <f t="shared" si="1"/>
        <v/>
      </c>
      <c r="J75" s="37"/>
      <c r="K75" s="58" t="str">
        <f t="shared" si="5"/>
        <v/>
      </c>
      <c r="L75" s="349" t="b">
        <f t="shared" si="3"/>
        <v>0</v>
      </c>
      <c r="M75" s="350">
        <f t="shared" si="6"/>
        <v>1</v>
      </c>
    </row>
    <row r="76" spans="1:13" x14ac:dyDescent="0.25">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1"/>
      <c r="I77" s="382" t="str">
        <f t="shared" si="7"/>
        <v/>
      </c>
      <c r="J77" s="37"/>
      <c r="K77" s="58" t="str">
        <f t="shared" si="8"/>
        <v/>
      </c>
      <c r="L77" s="349" t="b">
        <f t="shared" si="9"/>
        <v>0</v>
      </c>
      <c r="M77" s="350">
        <f t="shared" si="10"/>
        <v>1</v>
      </c>
    </row>
    <row r="78" spans="1:13" x14ac:dyDescent="0.25">
      <c r="A78" s="37">
        <v>67</v>
      </c>
      <c r="B78" s="6"/>
      <c r="C78" s="6"/>
      <c r="D78" s="6"/>
      <c r="E78" s="6"/>
      <c r="F78" s="6"/>
      <c r="G78" s="6"/>
      <c r="H78" s="421"/>
      <c r="I78" s="382" t="str">
        <f t="shared" si="7"/>
        <v/>
      </c>
      <c r="J78" s="37"/>
      <c r="K78" s="58" t="str">
        <f t="shared" si="8"/>
        <v/>
      </c>
      <c r="L78" s="349" t="b">
        <f t="shared" si="9"/>
        <v>0</v>
      </c>
      <c r="M78" s="350">
        <f t="shared" si="10"/>
        <v>1</v>
      </c>
    </row>
    <row r="79" spans="1:13" x14ac:dyDescent="0.25">
      <c r="A79" s="37">
        <v>68</v>
      </c>
      <c r="B79" s="6"/>
      <c r="C79" s="6"/>
      <c r="D79" s="6"/>
      <c r="E79" s="6"/>
      <c r="F79" s="6"/>
      <c r="G79" s="6"/>
      <c r="H79" s="421"/>
      <c r="I79" s="382" t="str">
        <f t="shared" si="7"/>
        <v/>
      </c>
      <c r="J79" s="37"/>
      <c r="K79" s="58" t="str">
        <f t="shared" si="8"/>
        <v/>
      </c>
      <c r="L79" s="349" t="b">
        <f t="shared" si="9"/>
        <v>0</v>
      </c>
      <c r="M79" s="350">
        <f t="shared" si="10"/>
        <v>1</v>
      </c>
    </row>
    <row r="80" spans="1:13" x14ac:dyDescent="0.25">
      <c r="A80" s="37">
        <v>69</v>
      </c>
      <c r="B80" s="6"/>
      <c r="C80" s="6"/>
      <c r="D80" s="6"/>
      <c r="E80" s="6"/>
      <c r="F80" s="6"/>
      <c r="G80" s="6"/>
      <c r="H80" s="421"/>
      <c r="I80" s="382" t="str">
        <f t="shared" si="7"/>
        <v/>
      </c>
      <c r="J80" s="37"/>
      <c r="K80" s="58" t="str">
        <f t="shared" si="8"/>
        <v/>
      </c>
      <c r="L80" s="349" t="b">
        <f t="shared" si="9"/>
        <v>0</v>
      </c>
      <c r="M80" s="350">
        <f t="shared" si="10"/>
        <v>1</v>
      </c>
    </row>
    <row r="81" spans="1:13" x14ac:dyDescent="0.25">
      <c r="A81" s="37">
        <v>70</v>
      </c>
      <c r="B81" s="6"/>
      <c r="C81" s="6"/>
      <c r="D81" s="6"/>
      <c r="E81" s="6"/>
      <c r="F81" s="6"/>
      <c r="G81" s="6"/>
      <c r="H81" s="421"/>
      <c r="I81" s="382" t="str">
        <f t="shared" si="7"/>
        <v/>
      </c>
      <c r="J81" s="37"/>
      <c r="K81" s="58" t="str">
        <f t="shared" si="8"/>
        <v/>
      </c>
      <c r="L81" s="349" t="b">
        <f t="shared" si="9"/>
        <v>0</v>
      </c>
      <c r="M81" s="350">
        <f t="shared" si="10"/>
        <v>1</v>
      </c>
    </row>
    <row r="82" spans="1:13" x14ac:dyDescent="0.25">
      <c r="A82" s="37">
        <v>71</v>
      </c>
      <c r="B82" s="6"/>
      <c r="C82" s="6"/>
      <c r="D82" s="6"/>
      <c r="E82" s="6"/>
      <c r="F82" s="6"/>
      <c r="G82" s="6"/>
      <c r="H82" s="421"/>
      <c r="I82" s="382" t="str">
        <f t="shared" si="7"/>
        <v/>
      </c>
      <c r="J82" s="37"/>
      <c r="K82" s="58" t="str">
        <f t="shared" si="8"/>
        <v/>
      </c>
      <c r="L82" s="349" t="b">
        <f t="shared" si="9"/>
        <v>0</v>
      </c>
      <c r="M82" s="350">
        <f t="shared" si="10"/>
        <v>1</v>
      </c>
    </row>
    <row r="83" spans="1:13" x14ac:dyDescent="0.25">
      <c r="A83" s="37">
        <v>72</v>
      </c>
      <c r="B83" s="6"/>
      <c r="C83" s="6"/>
      <c r="D83" s="6"/>
      <c r="E83" s="6"/>
      <c r="F83" s="6"/>
      <c r="G83" s="6"/>
      <c r="H83" s="421"/>
      <c r="I83" s="382" t="str">
        <f t="shared" si="7"/>
        <v/>
      </c>
      <c r="J83" s="37"/>
      <c r="K83" s="58" t="str">
        <f t="shared" si="8"/>
        <v/>
      </c>
      <c r="L83" s="349" t="b">
        <f t="shared" si="9"/>
        <v>0</v>
      </c>
      <c r="M83" s="350">
        <f t="shared" si="10"/>
        <v>1</v>
      </c>
    </row>
    <row r="84" spans="1:13" x14ac:dyDescent="0.25">
      <c r="A84" s="37">
        <v>73</v>
      </c>
      <c r="B84" s="6"/>
      <c r="C84" s="6"/>
      <c r="D84" s="6"/>
      <c r="E84" s="6"/>
      <c r="F84" s="6"/>
      <c r="G84" s="6"/>
      <c r="H84" s="421"/>
      <c r="I84" s="382" t="str">
        <f t="shared" si="7"/>
        <v/>
      </c>
      <c r="J84" s="37"/>
      <c r="K84" s="58" t="str">
        <f t="shared" si="8"/>
        <v/>
      </c>
      <c r="L84" s="349" t="b">
        <f t="shared" si="9"/>
        <v>0</v>
      </c>
      <c r="M84" s="350">
        <f t="shared" si="10"/>
        <v>1</v>
      </c>
    </row>
    <row r="85" spans="1:13" x14ac:dyDescent="0.25">
      <c r="A85" s="37">
        <v>74</v>
      </c>
      <c r="B85" s="6"/>
      <c r="C85" s="6"/>
      <c r="D85" s="6"/>
      <c r="E85" s="6"/>
      <c r="F85" s="6"/>
      <c r="G85" s="6"/>
      <c r="H85" s="421"/>
      <c r="I85" s="382" t="str">
        <f t="shared" si="7"/>
        <v/>
      </c>
      <c r="J85" s="37"/>
      <c r="K85" s="58" t="str">
        <f t="shared" si="8"/>
        <v/>
      </c>
      <c r="L85" s="349" t="b">
        <f t="shared" si="9"/>
        <v>0</v>
      </c>
      <c r="M85" s="350">
        <f t="shared" si="10"/>
        <v>1</v>
      </c>
    </row>
    <row r="86" spans="1:13" x14ac:dyDescent="0.25">
      <c r="A86" s="37">
        <v>75</v>
      </c>
      <c r="B86" s="6"/>
      <c r="C86" s="6"/>
      <c r="D86" s="6"/>
      <c r="E86" s="6"/>
      <c r="F86" s="6"/>
      <c r="G86" s="6"/>
      <c r="H86" s="421"/>
      <c r="I86" s="382" t="str">
        <f t="shared" si="7"/>
        <v/>
      </c>
      <c r="J86" s="37"/>
      <c r="K86" s="58" t="str">
        <f t="shared" si="8"/>
        <v/>
      </c>
      <c r="L86" s="349" t="b">
        <f t="shared" si="9"/>
        <v>0</v>
      </c>
      <c r="M86" s="350">
        <f t="shared" si="10"/>
        <v>1</v>
      </c>
    </row>
    <row r="87" spans="1:13" x14ac:dyDescent="0.25">
      <c r="A87" s="37">
        <v>76</v>
      </c>
      <c r="B87" s="6"/>
      <c r="C87" s="6"/>
      <c r="D87" s="6"/>
      <c r="E87" s="6"/>
      <c r="F87" s="6"/>
      <c r="G87" s="6"/>
      <c r="H87" s="421"/>
      <c r="I87" s="382" t="str">
        <f t="shared" si="7"/>
        <v/>
      </c>
      <c r="J87" s="37"/>
      <c r="K87" s="58" t="str">
        <f t="shared" si="8"/>
        <v/>
      </c>
      <c r="L87" s="349" t="b">
        <f t="shared" si="9"/>
        <v>0</v>
      </c>
      <c r="M87" s="350">
        <f t="shared" si="10"/>
        <v>1</v>
      </c>
    </row>
    <row r="88" spans="1:13" x14ac:dyDescent="0.25">
      <c r="A88" s="37">
        <v>77</v>
      </c>
      <c r="B88" s="6"/>
      <c r="C88" s="6"/>
      <c r="D88" s="6"/>
      <c r="E88" s="6"/>
      <c r="F88" s="6"/>
      <c r="G88" s="6"/>
      <c r="H88" s="421"/>
      <c r="I88" s="382" t="str">
        <f t="shared" si="7"/>
        <v/>
      </c>
      <c r="J88" s="37"/>
      <c r="K88" s="58" t="str">
        <f t="shared" si="8"/>
        <v/>
      </c>
      <c r="L88" s="349" t="b">
        <f t="shared" si="9"/>
        <v>0</v>
      </c>
      <c r="M88" s="350">
        <f t="shared" si="10"/>
        <v>1</v>
      </c>
    </row>
    <row r="89" spans="1:13" x14ac:dyDescent="0.25">
      <c r="A89" s="37">
        <v>78</v>
      </c>
      <c r="B89" s="6"/>
      <c r="C89" s="6"/>
      <c r="D89" s="6"/>
      <c r="E89" s="6"/>
      <c r="F89" s="6"/>
      <c r="G89" s="6"/>
      <c r="H89" s="421"/>
      <c r="I89" s="382" t="str">
        <f t="shared" si="7"/>
        <v/>
      </c>
      <c r="J89" s="37"/>
      <c r="K89" s="58" t="str">
        <f t="shared" si="8"/>
        <v/>
      </c>
      <c r="L89" s="349" t="b">
        <f t="shared" si="9"/>
        <v>0</v>
      </c>
      <c r="M89" s="350">
        <f t="shared" si="10"/>
        <v>1</v>
      </c>
    </row>
    <row r="90" spans="1:13" x14ac:dyDescent="0.25">
      <c r="A90" s="37">
        <v>79</v>
      </c>
      <c r="B90" s="6"/>
      <c r="C90" s="6"/>
      <c r="D90" s="6"/>
      <c r="E90" s="6"/>
      <c r="F90" s="6"/>
      <c r="G90" s="6"/>
      <c r="H90" s="421"/>
      <c r="I90" s="382" t="str">
        <f t="shared" si="7"/>
        <v/>
      </c>
      <c r="J90" s="37"/>
      <c r="K90" s="58" t="str">
        <f t="shared" si="8"/>
        <v/>
      </c>
      <c r="L90" s="349" t="b">
        <f t="shared" si="9"/>
        <v>0</v>
      </c>
      <c r="M90" s="350">
        <f t="shared" si="10"/>
        <v>1</v>
      </c>
    </row>
    <row r="91" spans="1:13" x14ac:dyDescent="0.25">
      <c r="A91" s="37">
        <v>80</v>
      </c>
      <c r="B91" s="6"/>
      <c r="C91" s="6"/>
      <c r="D91" s="6"/>
      <c r="E91" s="6"/>
      <c r="F91" s="6"/>
      <c r="G91" s="6"/>
      <c r="H91" s="421"/>
      <c r="I91" s="382" t="str">
        <f t="shared" si="7"/>
        <v/>
      </c>
      <c r="J91" s="37"/>
      <c r="K91" s="58" t="str">
        <f t="shared" si="8"/>
        <v/>
      </c>
      <c r="L91" s="349" t="b">
        <f t="shared" si="9"/>
        <v>0</v>
      </c>
      <c r="M91" s="350">
        <f t="shared" si="10"/>
        <v>1</v>
      </c>
    </row>
    <row r="92" spans="1:13" x14ac:dyDescent="0.25">
      <c r="A92" s="37">
        <v>81</v>
      </c>
      <c r="B92" s="6"/>
      <c r="C92" s="6"/>
      <c r="D92" s="6"/>
      <c r="E92" s="6"/>
      <c r="F92" s="6"/>
      <c r="G92" s="6"/>
      <c r="H92" s="421"/>
      <c r="I92" s="382" t="str">
        <f t="shared" si="7"/>
        <v/>
      </c>
      <c r="J92" s="37"/>
      <c r="K92" s="58" t="str">
        <f t="shared" si="8"/>
        <v/>
      </c>
      <c r="L92" s="349" t="b">
        <f t="shared" si="9"/>
        <v>0</v>
      </c>
      <c r="M92" s="350">
        <f t="shared" si="10"/>
        <v>1</v>
      </c>
    </row>
    <row r="93" spans="1:13" x14ac:dyDescent="0.25">
      <c r="A93" s="37">
        <v>82</v>
      </c>
      <c r="B93" s="6"/>
      <c r="C93" s="6"/>
      <c r="D93" s="6"/>
      <c r="E93" s="6"/>
      <c r="F93" s="6"/>
      <c r="G93" s="6"/>
      <c r="H93" s="421"/>
      <c r="I93" s="382" t="str">
        <f t="shared" si="7"/>
        <v/>
      </c>
      <c r="J93" s="37"/>
      <c r="K93" s="58" t="str">
        <f t="shared" si="8"/>
        <v/>
      </c>
      <c r="L93" s="349" t="b">
        <f t="shared" si="9"/>
        <v>0</v>
      </c>
      <c r="M93" s="350">
        <f t="shared" si="10"/>
        <v>1</v>
      </c>
    </row>
    <row r="94" spans="1:13" x14ac:dyDescent="0.25">
      <c r="A94" s="37">
        <v>83</v>
      </c>
      <c r="B94" s="6"/>
      <c r="C94" s="6"/>
      <c r="D94" s="6"/>
      <c r="E94" s="6"/>
      <c r="F94" s="6"/>
      <c r="G94" s="6"/>
      <c r="H94" s="421"/>
      <c r="I94" s="382" t="str">
        <f t="shared" si="7"/>
        <v/>
      </c>
      <c r="J94" s="37"/>
      <c r="K94" s="58" t="str">
        <f t="shared" si="8"/>
        <v/>
      </c>
      <c r="L94" s="349" t="b">
        <f t="shared" si="9"/>
        <v>0</v>
      </c>
      <c r="M94" s="350">
        <f t="shared" si="10"/>
        <v>1</v>
      </c>
    </row>
    <row r="95" spans="1:13" x14ac:dyDescent="0.25">
      <c r="A95" s="37">
        <v>84</v>
      </c>
      <c r="B95" s="6"/>
      <c r="C95" s="6"/>
      <c r="D95" s="6"/>
      <c r="E95" s="6"/>
      <c r="F95" s="6"/>
      <c r="G95" s="6"/>
      <c r="H95" s="421"/>
      <c r="I95" s="382" t="str">
        <f t="shared" si="7"/>
        <v/>
      </c>
      <c r="J95" s="37"/>
      <c r="K95" s="58" t="str">
        <f t="shared" si="8"/>
        <v/>
      </c>
      <c r="L95" s="349" t="b">
        <f t="shared" si="9"/>
        <v>0</v>
      </c>
      <c r="M95" s="350">
        <f t="shared" si="10"/>
        <v>1</v>
      </c>
    </row>
    <row r="96" spans="1:13" x14ac:dyDescent="0.25">
      <c r="A96" s="37">
        <v>85</v>
      </c>
      <c r="B96" s="6"/>
      <c r="C96" s="6"/>
      <c r="D96" s="6"/>
      <c r="E96" s="6"/>
      <c r="F96" s="6"/>
      <c r="G96" s="6"/>
      <c r="H96" s="421"/>
      <c r="I96" s="382" t="str">
        <f t="shared" si="7"/>
        <v/>
      </c>
      <c r="J96" s="37"/>
      <c r="K96" s="58" t="str">
        <f t="shared" si="8"/>
        <v/>
      </c>
      <c r="L96" s="349" t="b">
        <f t="shared" si="9"/>
        <v>0</v>
      </c>
      <c r="M96" s="350">
        <f t="shared" si="10"/>
        <v>1</v>
      </c>
    </row>
    <row r="97" spans="1:13" x14ac:dyDescent="0.25">
      <c r="A97" s="37">
        <v>86</v>
      </c>
      <c r="B97" s="6"/>
      <c r="C97" s="6"/>
      <c r="D97" s="6"/>
      <c r="E97" s="6"/>
      <c r="F97" s="6"/>
      <c r="G97" s="6"/>
      <c r="H97" s="421"/>
      <c r="I97" s="382" t="str">
        <f t="shared" si="7"/>
        <v/>
      </c>
      <c r="J97" s="37"/>
      <c r="K97" s="58" t="str">
        <f t="shared" si="8"/>
        <v/>
      </c>
      <c r="L97" s="349" t="b">
        <f t="shared" si="9"/>
        <v>0</v>
      </c>
      <c r="M97" s="350">
        <f t="shared" si="10"/>
        <v>1</v>
      </c>
    </row>
    <row r="98" spans="1:13" x14ac:dyDescent="0.25">
      <c r="A98" s="37">
        <v>87</v>
      </c>
      <c r="B98" s="6"/>
      <c r="C98" s="6"/>
      <c r="D98" s="6"/>
      <c r="E98" s="6"/>
      <c r="F98" s="6"/>
      <c r="G98" s="6"/>
      <c r="H98" s="421"/>
      <c r="I98" s="382" t="str">
        <f t="shared" si="7"/>
        <v/>
      </c>
      <c r="J98" s="37"/>
      <c r="K98" s="58" t="str">
        <f t="shared" si="8"/>
        <v/>
      </c>
      <c r="L98" s="349" t="b">
        <f t="shared" si="9"/>
        <v>0</v>
      </c>
      <c r="M98" s="350">
        <f t="shared" si="10"/>
        <v>1</v>
      </c>
    </row>
    <row r="99" spans="1:13" x14ac:dyDescent="0.25">
      <c r="A99" s="37">
        <v>88</v>
      </c>
      <c r="B99" s="6"/>
      <c r="C99" s="6"/>
      <c r="D99" s="6"/>
      <c r="E99" s="6"/>
      <c r="F99" s="6"/>
      <c r="G99" s="6"/>
      <c r="H99" s="421"/>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1"/>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1"/>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1"/>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1"/>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1"/>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1"/>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1"/>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1"/>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1"/>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1"/>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1"/>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49" zoomScaleNormal="100" workbookViewId="0">
      <selection activeCell="L62" sqref="L62"/>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ht="15.6" x14ac:dyDescent="0.2">
      <c r="A2" s="346" t="str">
        <f>IF(ISBLANK(facultate), IF(ISBLANK(departament),"","Departament " &amp; departament), "Facultatea " &amp; facultate)</f>
        <v>Facultatea Electronică și Telecomunicații</v>
      </c>
      <c r="D2" s="61"/>
      <c r="E2" s="63"/>
      <c r="F2" s="50"/>
      <c r="G2" s="62"/>
      <c r="H2" s="289"/>
    </row>
    <row r="3" spans="1:9" s="60" customFormat="1" ht="15.6" x14ac:dyDescent="0.2">
      <c r="A3" s="346" t="str">
        <f>IF(ISBLANK(departament),"","Departamentul " &amp; departament)</f>
        <v>Departamentul Electronică Aplicată</v>
      </c>
      <c r="D3" s="61"/>
      <c r="E3" s="63"/>
      <c r="F3" s="50"/>
      <c r="G3" s="62"/>
      <c r="H3" s="289"/>
    </row>
    <row r="4" spans="1:9" x14ac:dyDescent="0.25">
      <c r="A4" s="559" t="s">
        <v>784</v>
      </c>
      <c r="B4" s="559"/>
      <c r="C4" s="559"/>
      <c r="D4" s="559"/>
      <c r="E4" s="559"/>
      <c r="F4" s="423"/>
      <c r="G4" s="226"/>
      <c r="H4" s="291"/>
    </row>
    <row r="5" spans="1:9" x14ac:dyDescent="0.25">
      <c r="A5" s="559" t="s">
        <v>778</v>
      </c>
      <c r="B5" s="559"/>
      <c r="C5" s="559"/>
      <c r="D5" s="559"/>
      <c r="E5" s="559"/>
      <c r="F5" s="423"/>
      <c r="G5" s="226"/>
    </row>
    <row r="6" spans="1:9" ht="13.5" customHeight="1" x14ac:dyDescent="0.3">
      <c r="D6" s="64"/>
      <c r="E6" s="347" t="str">
        <f>CONCATENATE(functie," ",nume_candidat)</f>
        <v>Profesor Lascu Dan</v>
      </c>
      <c r="F6" s="347" t="str">
        <f>CONCATENATE(functie," ",nume_candidat)</f>
        <v>Profesor Lascu Dan</v>
      </c>
    </row>
    <row r="7" spans="1:9" ht="18.75" customHeight="1" x14ac:dyDescent="0.25">
      <c r="A7" s="557" t="s">
        <v>338</v>
      </c>
      <c r="B7" s="557" t="s">
        <v>454</v>
      </c>
      <c r="C7" s="557" t="s">
        <v>780</v>
      </c>
      <c r="D7" s="567" t="s">
        <v>2</v>
      </c>
      <c r="E7" s="557" t="s">
        <v>544</v>
      </c>
      <c r="F7" s="567" t="s">
        <v>1102</v>
      </c>
      <c r="G7" s="557" t="s">
        <v>4</v>
      </c>
      <c r="H7" s="578" t="s">
        <v>541</v>
      </c>
      <c r="I7" s="564" t="s">
        <v>551</v>
      </c>
    </row>
    <row r="8" spans="1:9" ht="18.75" customHeight="1" x14ac:dyDescent="0.25">
      <c r="A8" s="574"/>
      <c r="B8" s="574"/>
      <c r="C8" s="574"/>
      <c r="D8" s="568"/>
      <c r="E8" s="574"/>
      <c r="F8" s="568"/>
      <c r="G8" s="574"/>
      <c r="H8" s="579"/>
      <c r="I8" s="564"/>
    </row>
    <row r="9" spans="1:9" ht="18.75" customHeight="1" x14ac:dyDescent="0.25">
      <c r="A9" s="574"/>
      <c r="B9" s="574"/>
      <c r="C9" s="574"/>
      <c r="D9" s="568"/>
      <c r="E9" s="558"/>
      <c r="F9" s="568"/>
      <c r="G9" s="558"/>
      <c r="H9" s="579"/>
      <c r="I9" s="564"/>
    </row>
    <row r="10" spans="1:9" ht="18.75" customHeight="1" x14ac:dyDescent="0.25">
      <c r="A10" s="558"/>
      <c r="B10" s="558"/>
      <c r="C10" s="558"/>
      <c r="D10" s="569"/>
      <c r="E10" s="348" t="str">
        <f>CONCATENATE("ultimii ",durata_evaluare," ani")</f>
        <v>ultimii 5 ani</v>
      </c>
      <c r="F10" s="569"/>
      <c r="G10" s="348" t="str">
        <f>CONCATENATE("ultimii                                  ",durata_evaluare," ani")</f>
        <v>ultimii                                  5 ani</v>
      </c>
      <c r="H10" s="580"/>
      <c r="I10" s="564"/>
    </row>
    <row r="11" spans="1:9" x14ac:dyDescent="0.25">
      <c r="A11" s="88"/>
      <c r="B11" s="65"/>
      <c r="C11" s="65"/>
      <c r="D11" s="30"/>
      <c r="E11" s="148">
        <f>SUMIF(E12:E1012,"&gt;0")</f>
        <v>520</v>
      </c>
      <c r="F11" s="435"/>
      <c r="G11" s="4">
        <f t="shared" ref="G11" si="0">SUMIF(G12:G110,"&gt;0")</f>
        <v>52</v>
      </c>
      <c r="H11" s="298"/>
    </row>
    <row r="12" spans="1:9" ht="31.5" x14ac:dyDescent="0.25">
      <c r="A12" s="37">
        <v>1</v>
      </c>
      <c r="B12" s="7" t="s">
        <v>1256</v>
      </c>
      <c r="C12" s="506" t="s">
        <v>1265</v>
      </c>
      <c r="D12" s="220">
        <v>2015</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47.25" x14ac:dyDescent="0.25">
      <c r="A13" s="37">
        <v>2</v>
      </c>
      <c r="B13" s="514" t="s">
        <v>1261</v>
      </c>
      <c r="C13" s="514" t="s">
        <v>1277</v>
      </c>
      <c r="D13" s="509">
        <v>2015</v>
      </c>
      <c r="E13" s="16">
        <f>IF(OR($B13="",$C13="",$D13&lt;an_initial,$D13&gt;an_final),"",G13*10)</f>
        <v>10</v>
      </c>
      <c r="F13" s="37"/>
      <c r="G13" s="58">
        <f>IF(OR($B13="",$C13="",$D13="",$D13&gt;an_final),"",IF($D13&gt;=an_initial,1,""))</f>
        <v>1</v>
      </c>
      <c r="H13" s="349" t="b">
        <f t="shared" si="3"/>
        <v>0</v>
      </c>
      <c r="I13" s="350">
        <f t="shared" si="4"/>
        <v>2</v>
      </c>
    </row>
    <row r="14" spans="1:9" ht="47.25" x14ac:dyDescent="0.25">
      <c r="A14" s="37">
        <v>3</v>
      </c>
      <c r="B14" s="514" t="s">
        <v>1257</v>
      </c>
      <c r="C14" s="516" t="s">
        <v>1278</v>
      </c>
      <c r="D14" s="509">
        <v>2015</v>
      </c>
      <c r="E14" s="16">
        <f t="shared" si="1"/>
        <v>10</v>
      </c>
      <c r="F14" s="37"/>
      <c r="G14" s="58">
        <f t="shared" si="2"/>
        <v>1</v>
      </c>
      <c r="H14" s="349" t="b">
        <f t="shared" si="3"/>
        <v>0</v>
      </c>
      <c r="I14" s="350">
        <f t="shared" si="4"/>
        <v>1</v>
      </c>
    </row>
    <row r="15" spans="1:9" ht="15.6" customHeight="1" x14ac:dyDescent="0.25">
      <c r="A15" s="37">
        <v>4</v>
      </c>
      <c r="B15" s="514" t="s">
        <v>1258</v>
      </c>
      <c r="C15" s="516" t="s">
        <v>1279</v>
      </c>
      <c r="D15" s="509">
        <v>2015</v>
      </c>
      <c r="E15" s="16">
        <f t="shared" si="1"/>
        <v>10</v>
      </c>
      <c r="F15" s="37"/>
      <c r="G15" s="58">
        <f t="shared" si="2"/>
        <v>1</v>
      </c>
      <c r="H15" s="349" t="b">
        <f t="shared" si="3"/>
        <v>0</v>
      </c>
      <c r="I15" s="350">
        <f t="shared" si="4"/>
        <v>1</v>
      </c>
    </row>
    <row r="16" spans="1:9" ht="15.6" customHeight="1" x14ac:dyDescent="0.25">
      <c r="A16" s="37">
        <v>5</v>
      </c>
      <c r="B16" s="516" t="s">
        <v>1259</v>
      </c>
      <c r="C16" s="516" t="s">
        <v>1280</v>
      </c>
      <c r="D16" s="509">
        <v>2015</v>
      </c>
      <c r="E16" s="16">
        <f t="shared" si="1"/>
        <v>10</v>
      </c>
      <c r="F16" s="37"/>
      <c r="G16" s="58">
        <f t="shared" si="2"/>
        <v>1</v>
      </c>
      <c r="H16" s="349" t="b">
        <f t="shared" si="3"/>
        <v>0</v>
      </c>
      <c r="I16" s="350">
        <f t="shared" si="4"/>
        <v>1</v>
      </c>
    </row>
    <row r="17" spans="1:9" ht="15.6" customHeight="1" x14ac:dyDescent="0.25">
      <c r="A17" s="37">
        <v>6</v>
      </c>
      <c r="B17" s="516" t="s">
        <v>1260</v>
      </c>
      <c r="C17" s="516" t="s">
        <v>1281</v>
      </c>
      <c r="D17" s="508">
        <v>2015</v>
      </c>
      <c r="E17" s="16">
        <f t="shared" si="1"/>
        <v>10</v>
      </c>
      <c r="F17" s="37"/>
      <c r="G17" s="58">
        <f t="shared" si="2"/>
        <v>1</v>
      </c>
      <c r="H17" s="349" t="b">
        <f t="shared" si="3"/>
        <v>0</v>
      </c>
      <c r="I17" s="350">
        <f t="shared" si="4"/>
        <v>1</v>
      </c>
    </row>
    <row r="18" spans="1:9" ht="15.6" customHeight="1" x14ac:dyDescent="0.25">
      <c r="A18" s="37">
        <v>7</v>
      </c>
      <c r="B18" s="516" t="s">
        <v>1270</v>
      </c>
      <c r="C18" s="516" t="s">
        <v>1282</v>
      </c>
      <c r="D18" s="509">
        <v>2015</v>
      </c>
      <c r="E18" s="16">
        <f t="shared" si="1"/>
        <v>10</v>
      </c>
      <c r="F18" s="37"/>
      <c r="G18" s="58">
        <f t="shared" si="2"/>
        <v>1</v>
      </c>
      <c r="H18" s="349" t="b">
        <f t="shared" si="3"/>
        <v>0</v>
      </c>
      <c r="I18" s="350">
        <f t="shared" si="4"/>
        <v>1</v>
      </c>
    </row>
    <row r="19" spans="1:9" ht="15.6" customHeight="1" x14ac:dyDescent="0.25">
      <c r="A19" s="37">
        <v>8</v>
      </c>
      <c r="B19" s="516" t="s">
        <v>1271</v>
      </c>
      <c r="C19" s="516" t="s">
        <v>1266</v>
      </c>
      <c r="D19" s="508">
        <v>2015</v>
      </c>
      <c r="E19" s="16">
        <f t="shared" si="1"/>
        <v>10</v>
      </c>
      <c r="F19" s="37"/>
      <c r="G19" s="58">
        <f t="shared" si="2"/>
        <v>1</v>
      </c>
      <c r="H19" s="349" t="b">
        <f t="shared" si="3"/>
        <v>0</v>
      </c>
      <c r="I19" s="350">
        <f t="shared" si="4"/>
        <v>1</v>
      </c>
    </row>
    <row r="20" spans="1:9" ht="15.6" customHeight="1" x14ac:dyDescent="0.25">
      <c r="A20" s="37">
        <v>9</v>
      </c>
      <c r="B20" s="516" t="s">
        <v>1272</v>
      </c>
      <c r="C20" s="516" t="s">
        <v>1267</v>
      </c>
      <c r="D20" s="508">
        <v>2015</v>
      </c>
      <c r="E20" s="16">
        <f t="shared" si="1"/>
        <v>10</v>
      </c>
      <c r="F20" s="37"/>
      <c r="G20" s="58">
        <f t="shared" si="2"/>
        <v>1</v>
      </c>
      <c r="H20" s="349" t="b">
        <f t="shared" si="3"/>
        <v>0</v>
      </c>
      <c r="I20" s="350">
        <f t="shared" si="4"/>
        <v>1</v>
      </c>
    </row>
    <row r="21" spans="1:9" ht="15.6" customHeight="1" x14ac:dyDescent="0.25">
      <c r="A21" s="37">
        <v>10</v>
      </c>
      <c r="B21" s="516" t="s">
        <v>1262</v>
      </c>
      <c r="C21" s="516" t="s">
        <v>1268</v>
      </c>
      <c r="D21" s="508">
        <v>2015</v>
      </c>
      <c r="E21" s="16">
        <f t="shared" si="1"/>
        <v>10</v>
      </c>
      <c r="F21" s="37"/>
      <c r="G21" s="58">
        <f t="shared" si="2"/>
        <v>1</v>
      </c>
      <c r="H21" s="349" t="b">
        <f t="shared" si="3"/>
        <v>0</v>
      </c>
      <c r="I21" s="350">
        <f t="shared" si="4"/>
        <v>1</v>
      </c>
    </row>
    <row r="22" spans="1:9" ht="15.6" customHeight="1" x14ac:dyDescent="0.25">
      <c r="A22" s="37">
        <v>11</v>
      </c>
      <c r="B22" s="516" t="s">
        <v>1263</v>
      </c>
      <c r="C22" s="516" t="s">
        <v>1269</v>
      </c>
      <c r="D22" s="508">
        <v>2015</v>
      </c>
      <c r="E22" s="16">
        <f t="shared" si="1"/>
        <v>10</v>
      </c>
      <c r="F22" s="37"/>
      <c r="G22" s="58">
        <f t="shared" si="2"/>
        <v>1</v>
      </c>
      <c r="H22" s="349" t="b">
        <f t="shared" si="3"/>
        <v>0</v>
      </c>
      <c r="I22" s="350">
        <f t="shared" si="4"/>
        <v>1</v>
      </c>
    </row>
    <row r="23" spans="1:9" ht="15.6" customHeight="1" x14ac:dyDescent="0.25">
      <c r="A23" s="37">
        <v>12</v>
      </c>
      <c r="B23" s="6" t="s">
        <v>1264</v>
      </c>
      <c r="C23" s="505" t="s">
        <v>1283</v>
      </c>
      <c r="D23" s="508">
        <v>2015</v>
      </c>
      <c r="E23" s="16">
        <f t="shared" si="1"/>
        <v>10</v>
      </c>
      <c r="F23" s="37"/>
      <c r="G23" s="58">
        <f t="shared" si="2"/>
        <v>1</v>
      </c>
      <c r="H23" s="349" t="b">
        <f t="shared" si="3"/>
        <v>0</v>
      </c>
      <c r="I23" s="350">
        <f t="shared" si="4"/>
        <v>1</v>
      </c>
    </row>
    <row r="24" spans="1:9" ht="15.6" customHeight="1" x14ac:dyDescent="0.25">
      <c r="A24" s="37">
        <v>13</v>
      </c>
      <c r="B24" s="6" t="s">
        <v>1285</v>
      </c>
      <c r="C24" s="507" t="s">
        <v>1284</v>
      </c>
      <c r="D24" s="508">
        <v>2015</v>
      </c>
      <c r="E24" s="16">
        <f>IF(OR($B24="",$C24="",$D24&lt;an_initial,$D24&gt;an_final),"",G24*10)</f>
        <v>10</v>
      </c>
      <c r="F24" s="37"/>
      <c r="G24" s="58">
        <f>IF(OR($B24="",$C24="",$D24="",$D24&gt;an_final),"",IF($D24&gt;=an_initial,1,""))</f>
        <v>1</v>
      </c>
      <c r="H24" s="349" t="b">
        <f t="shared" si="3"/>
        <v>0</v>
      </c>
      <c r="I24" s="350">
        <f t="shared" si="4"/>
        <v>1</v>
      </c>
    </row>
    <row r="25" spans="1:9" ht="15.6" customHeight="1" x14ac:dyDescent="0.25">
      <c r="A25" s="37">
        <v>14</v>
      </c>
      <c r="B25" s="6" t="s">
        <v>1286</v>
      </c>
      <c r="C25" s="505" t="s">
        <v>1273</v>
      </c>
      <c r="D25" s="508">
        <v>2016</v>
      </c>
      <c r="E25" s="16">
        <f t="shared" si="1"/>
        <v>10</v>
      </c>
      <c r="F25" s="37"/>
      <c r="G25" s="58">
        <f t="shared" si="2"/>
        <v>1</v>
      </c>
      <c r="H25" s="349" t="b">
        <f t="shared" si="3"/>
        <v>0</v>
      </c>
      <c r="I25" s="350">
        <f t="shared" si="4"/>
        <v>1</v>
      </c>
    </row>
    <row r="26" spans="1:9" ht="15.6" customHeight="1" x14ac:dyDescent="0.25">
      <c r="A26" s="37">
        <v>15</v>
      </c>
      <c r="B26" s="6" t="s">
        <v>1287</v>
      </c>
      <c r="C26" s="505" t="s">
        <v>1288</v>
      </c>
      <c r="D26" s="508">
        <v>2016</v>
      </c>
      <c r="E26" s="16">
        <f t="shared" si="1"/>
        <v>10</v>
      </c>
      <c r="F26" s="37"/>
      <c r="G26" s="58">
        <f t="shared" si="2"/>
        <v>1</v>
      </c>
      <c r="H26" s="349" t="b">
        <f t="shared" si="3"/>
        <v>0</v>
      </c>
      <c r="I26" s="350">
        <f t="shared" si="4"/>
        <v>1</v>
      </c>
    </row>
    <row r="27" spans="1:9" ht="15.6" customHeight="1" x14ac:dyDescent="0.25">
      <c r="A27" s="37">
        <v>16</v>
      </c>
      <c r="B27" s="6" t="s">
        <v>1290</v>
      </c>
      <c r="C27" s="505" t="s">
        <v>1289</v>
      </c>
      <c r="D27" s="508">
        <v>2016</v>
      </c>
      <c r="E27" s="16">
        <f t="shared" si="1"/>
        <v>10</v>
      </c>
      <c r="F27" s="37"/>
      <c r="G27" s="58">
        <f t="shared" si="2"/>
        <v>1</v>
      </c>
      <c r="H27" s="349" t="b">
        <f t="shared" si="3"/>
        <v>0</v>
      </c>
      <c r="I27" s="350">
        <f t="shared" si="4"/>
        <v>1</v>
      </c>
    </row>
    <row r="28" spans="1:9" ht="15.6" customHeight="1" x14ac:dyDescent="0.25">
      <c r="A28" s="37">
        <v>17</v>
      </c>
      <c r="B28" s="6" t="s">
        <v>1291</v>
      </c>
      <c r="C28" s="505" t="s">
        <v>1292</v>
      </c>
      <c r="D28" s="508">
        <v>2016</v>
      </c>
      <c r="E28" s="16">
        <f t="shared" si="1"/>
        <v>10</v>
      </c>
      <c r="F28" s="37"/>
      <c r="G28" s="58">
        <f t="shared" si="2"/>
        <v>1</v>
      </c>
      <c r="H28" s="349" t="b">
        <f t="shared" si="3"/>
        <v>0</v>
      </c>
      <c r="I28" s="350">
        <f t="shared" si="4"/>
        <v>1</v>
      </c>
    </row>
    <row r="29" spans="1:9" ht="15.6" customHeight="1" x14ac:dyDescent="0.25">
      <c r="A29" s="37">
        <v>18</v>
      </c>
      <c r="B29" s="6" t="s">
        <v>1293</v>
      </c>
      <c r="C29" s="505" t="s">
        <v>1274</v>
      </c>
      <c r="D29" s="508">
        <v>2016</v>
      </c>
      <c r="E29" s="16">
        <f t="shared" si="1"/>
        <v>10</v>
      </c>
      <c r="F29" s="37"/>
      <c r="G29" s="58">
        <f t="shared" si="2"/>
        <v>1</v>
      </c>
      <c r="H29" s="349" t="b">
        <f t="shared" si="3"/>
        <v>0</v>
      </c>
      <c r="I29" s="350">
        <f t="shared" si="4"/>
        <v>1</v>
      </c>
    </row>
    <row r="30" spans="1:9" ht="15.6" customHeight="1" x14ac:dyDescent="0.25">
      <c r="A30" s="37">
        <v>19</v>
      </c>
      <c r="B30" s="6" t="s">
        <v>1295</v>
      </c>
      <c r="C30" s="505" t="s">
        <v>1294</v>
      </c>
      <c r="D30" s="508">
        <v>2016</v>
      </c>
      <c r="E30" s="16">
        <f t="shared" si="1"/>
        <v>10</v>
      </c>
      <c r="F30" s="37"/>
      <c r="G30" s="58">
        <f t="shared" si="2"/>
        <v>1</v>
      </c>
      <c r="H30" s="349" t="b">
        <f t="shared" si="3"/>
        <v>0</v>
      </c>
      <c r="I30" s="350">
        <f t="shared" si="4"/>
        <v>1</v>
      </c>
    </row>
    <row r="31" spans="1:9" ht="15.6" customHeight="1" x14ac:dyDescent="0.25">
      <c r="A31" s="37">
        <v>20</v>
      </c>
      <c r="B31" s="6" t="s">
        <v>1297</v>
      </c>
      <c r="C31" s="505" t="s">
        <v>1296</v>
      </c>
      <c r="D31" s="508">
        <v>2016</v>
      </c>
      <c r="E31" s="16">
        <f t="shared" si="1"/>
        <v>10</v>
      </c>
      <c r="F31" s="37"/>
      <c r="G31" s="58">
        <f t="shared" si="2"/>
        <v>1</v>
      </c>
      <c r="H31" s="349" t="b">
        <f t="shared" si="3"/>
        <v>0</v>
      </c>
      <c r="I31" s="350">
        <f t="shared" si="4"/>
        <v>1</v>
      </c>
    </row>
    <row r="32" spans="1:9" ht="15.6" customHeight="1" x14ac:dyDescent="0.25">
      <c r="A32" s="37">
        <v>21</v>
      </c>
      <c r="B32" s="6" t="s">
        <v>1276</v>
      </c>
      <c r="C32" s="505" t="s">
        <v>1275</v>
      </c>
      <c r="D32" s="508">
        <v>2016</v>
      </c>
      <c r="E32" s="16">
        <f t="shared" si="1"/>
        <v>10</v>
      </c>
      <c r="F32" s="37"/>
      <c r="G32" s="58">
        <f t="shared" si="2"/>
        <v>1</v>
      </c>
      <c r="H32" s="349" t="b">
        <f t="shared" si="3"/>
        <v>0</v>
      </c>
      <c r="I32" s="350">
        <f t="shared" si="4"/>
        <v>1</v>
      </c>
    </row>
    <row r="33" spans="1:9" ht="15.6" customHeight="1" x14ac:dyDescent="0.25">
      <c r="A33" s="37">
        <v>22</v>
      </c>
      <c r="B33" s="6" t="s">
        <v>1298</v>
      </c>
      <c r="C33" s="505" t="s">
        <v>1302</v>
      </c>
      <c r="D33" s="508">
        <v>2017</v>
      </c>
      <c r="E33" s="16">
        <f t="shared" si="1"/>
        <v>10</v>
      </c>
      <c r="F33" s="37"/>
      <c r="G33" s="58">
        <f t="shared" si="2"/>
        <v>1</v>
      </c>
      <c r="H33" s="349" t="b">
        <f t="shared" si="3"/>
        <v>0</v>
      </c>
      <c r="I33" s="350">
        <f t="shared" si="4"/>
        <v>1</v>
      </c>
    </row>
    <row r="34" spans="1:9" ht="15.6" customHeight="1" x14ac:dyDescent="0.25">
      <c r="A34" s="37">
        <v>23</v>
      </c>
      <c r="B34" s="6" t="s">
        <v>1299</v>
      </c>
      <c r="C34" s="505" t="s">
        <v>1303</v>
      </c>
      <c r="D34" s="508">
        <v>2017</v>
      </c>
      <c r="E34" s="16">
        <f t="shared" si="1"/>
        <v>10</v>
      </c>
      <c r="F34" s="37"/>
      <c r="G34" s="58">
        <f t="shared" si="2"/>
        <v>1</v>
      </c>
      <c r="H34" s="349" t="b">
        <f t="shared" si="3"/>
        <v>0</v>
      </c>
      <c r="I34" s="350">
        <f t="shared" si="4"/>
        <v>1</v>
      </c>
    </row>
    <row r="35" spans="1:9" ht="15.6" customHeight="1" x14ac:dyDescent="0.25">
      <c r="A35" s="37">
        <v>24</v>
      </c>
      <c r="B35" s="6" t="s">
        <v>1300</v>
      </c>
      <c r="C35" s="505" t="s">
        <v>1304</v>
      </c>
      <c r="D35" s="508">
        <v>2017</v>
      </c>
      <c r="E35" s="16">
        <f t="shared" si="1"/>
        <v>10</v>
      </c>
      <c r="F35" s="37"/>
      <c r="G35" s="58">
        <f t="shared" si="2"/>
        <v>1</v>
      </c>
      <c r="H35" s="349" t="b">
        <f t="shared" si="3"/>
        <v>0</v>
      </c>
      <c r="I35" s="350">
        <f t="shared" si="4"/>
        <v>1</v>
      </c>
    </row>
    <row r="36" spans="1:9" ht="15.6" customHeight="1" x14ac:dyDescent="0.25">
      <c r="A36" s="37">
        <v>25</v>
      </c>
      <c r="B36" s="6" t="s">
        <v>1301</v>
      </c>
      <c r="C36" s="505" t="s">
        <v>1305</v>
      </c>
      <c r="D36" s="508">
        <v>2017</v>
      </c>
      <c r="E36" s="16">
        <f t="shared" si="1"/>
        <v>10</v>
      </c>
      <c r="F36" s="37"/>
      <c r="G36" s="58">
        <f t="shared" si="2"/>
        <v>1</v>
      </c>
      <c r="H36" s="349" t="b">
        <f t="shared" si="3"/>
        <v>0</v>
      </c>
      <c r="I36" s="350">
        <f t="shared" si="4"/>
        <v>1</v>
      </c>
    </row>
    <row r="37" spans="1:9" ht="15.6" customHeight="1" x14ac:dyDescent="0.25">
      <c r="A37" s="37">
        <v>26</v>
      </c>
      <c r="B37" s="6" t="s">
        <v>1307</v>
      </c>
      <c r="C37" s="505" t="s">
        <v>1306</v>
      </c>
      <c r="D37" s="508">
        <v>2017</v>
      </c>
      <c r="E37" s="16">
        <f t="shared" si="1"/>
        <v>10</v>
      </c>
      <c r="F37" s="37"/>
      <c r="G37" s="58">
        <f t="shared" si="2"/>
        <v>1</v>
      </c>
      <c r="H37" s="349" t="b">
        <f t="shared" si="3"/>
        <v>0</v>
      </c>
      <c r="I37" s="350">
        <f t="shared" si="4"/>
        <v>1</v>
      </c>
    </row>
    <row r="38" spans="1:9" ht="15.6" customHeight="1" x14ac:dyDescent="0.25">
      <c r="A38" s="37">
        <v>27</v>
      </c>
      <c r="B38" s="6" t="s">
        <v>1309</v>
      </c>
      <c r="C38" s="505" t="s">
        <v>1308</v>
      </c>
      <c r="D38" s="508">
        <v>2017</v>
      </c>
      <c r="E38" s="16">
        <f t="shared" si="1"/>
        <v>10</v>
      </c>
      <c r="F38" s="37"/>
      <c r="G38" s="58">
        <f t="shared" si="2"/>
        <v>1</v>
      </c>
      <c r="H38" s="349" t="b">
        <f t="shared" si="3"/>
        <v>0</v>
      </c>
      <c r="I38" s="350">
        <f t="shared" si="4"/>
        <v>1</v>
      </c>
    </row>
    <row r="39" spans="1:9" ht="31.5" x14ac:dyDescent="0.25">
      <c r="A39" s="37">
        <v>28</v>
      </c>
      <c r="B39" s="6" t="s">
        <v>1310</v>
      </c>
      <c r="C39" s="505" t="s">
        <v>1312</v>
      </c>
      <c r="D39" s="508">
        <v>2017</v>
      </c>
      <c r="E39" s="16">
        <f t="shared" si="1"/>
        <v>10</v>
      </c>
      <c r="F39" s="37"/>
      <c r="G39" s="58">
        <f t="shared" si="2"/>
        <v>1</v>
      </c>
      <c r="H39" s="349" t="b">
        <f t="shared" si="3"/>
        <v>0</v>
      </c>
      <c r="I39" s="350">
        <f t="shared" si="4"/>
        <v>1</v>
      </c>
    </row>
    <row r="40" spans="1:9" ht="31.5" x14ac:dyDescent="0.25">
      <c r="A40" s="37">
        <v>29</v>
      </c>
      <c r="B40" s="6" t="s">
        <v>1313</v>
      </c>
      <c r="C40" s="505" t="s">
        <v>1311</v>
      </c>
      <c r="D40" s="508">
        <v>2017</v>
      </c>
      <c r="E40" s="16">
        <f t="shared" si="1"/>
        <v>10</v>
      </c>
      <c r="F40" s="37"/>
      <c r="G40" s="58">
        <f t="shared" si="2"/>
        <v>1</v>
      </c>
      <c r="H40" s="349" t="b">
        <f t="shared" si="3"/>
        <v>0</v>
      </c>
      <c r="I40" s="350">
        <f t="shared" si="4"/>
        <v>1</v>
      </c>
    </row>
    <row r="41" spans="1:9" ht="47.25" x14ac:dyDescent="0.25">
      <c r="A41" s="37">
        <v>30</v>
      </c>
      <c r="B41" s="6" t="s">
        <v>1315</v>
      </c>
      <c r="C41" s="505" t="s">
        <v>1314</v>
      </c>
      <c r="D41" s="216">
        <v>2017</v>
      </c>
      <c r="E41" s="16">
        <f t="shared" si="1"/>
        <v>10</v>
      </c>
      <c r="F41" s="37"/>
      <c r="G41" s="58">
        <f t="shared" si="2"/>
        <v>1</v>
      </c>
      <c r="H41" s="349" t="b">
        <f t="shared" si="3"/>
        <v>0</v>
      </c>
      <c r="I41" s="350">
        <f t="shared" si="4"/>
        <v>1</v>
      </c>
    </row>
    <row r="42" spans="1:9" ht="63" x14ac:dyDescent="0.25">
      <c r="A42" s="37">
        <v>31</v>
      </c>
      <c r="B42" s="6" t="s">
        <v>1317</v>
      </c>
      <c r="C42" s="505" t="s">
        <v>1316</v>
      </c>
      <c r="D42" s="508">
        <v>2017</v>
      </c>
      <c r="E42" s="16">
        <f t="shared" si="1"/>
        <v>10</v>
      </c>
      <c r="F42" s="37"/>
      <c r="G42" s="58">
        <f t="shared" si="2"/>
        <v>1</v>
      </c>
      <c r="H42" s="349" t="b">
        <f t="shared" si="3"/>
        <v>0</v>
      </c>
      <c r="I42" s="350">
        <f t="shared" si="4"/>
        <v>2</v>
      </c>
    </row>
    <row r="43" spans="1:9" ht="47.25" x14ac:dyDescent="0.25">
      <c r="A43" s="37">
        <v>32</v>
      </c>
      <c r="B43" s="6" t="s">
        <v>1319</v>
      </c>
      <c r="C43" s="505" t="s">
        <v>1318</v>
      </c>
      <c r="D43" s="508">
        <v>2017</v>
      </c>
      <c r="E43" s="16">
        <f t="shared" si="1"/>
        <v>10</v>
      </c>
      <c r="F43" s="37"/>
      <c r="G43" s="58">
        <f t="shared" si="2"/>
        <v>1</v>
      </c>
      <c r="H43" s="349" t="b">
        <f t="shared" si="3"/>
        <v>0</v>
      </c>
      <c r="I43" s="350">
        <f t="shared" si="4"/>
        <v>1</v>
      </c>
    </row>
    <row r="44" spans="1:9" x14ac:dyDescent="0.25">
      <c r="A44" s="37">
        <v>33</v>
      </c>
      <c r="B44" s="6" t="s">
        <v>1321</v>
      </c>
      <c r="C44" s="505" t="s">
        <v>1320</v>
      </c>
      <c r="D44" s="508">
        <v>2017</v>
      </c>
      <c r="E44" s="16">
        <f t="shared" si="1"/>
        <v>10</v>
      </c>
      <c r="F44" s="37"/>
      <c r="G44" s="58">
        <f t="shared" ref="G44:G75" si="5">IF(OR($B44="",$C44="",$D44="",$D44&gt;an_final),"",IF($D44&gt;=an_initial,1,""))</f>
        <v>1</v>
      </c>
      <c r="H44" s="349" t="b">
        <f t="shared" si="3"/>
        <v>0</v>
      </c>
      <c r="I44" s="350">
        <f t="shared" ref="I44:I75" si="6">LEN(B44)-LEN(SUBSTITUTE(B44,",",""))+1</f>
        <v>1</v>
      </c>
    </row>
    <row r="45" spans="1:9" ht="31.5" x14ac:dyDescent="0.25">
      <c r="A45" s="37">
        <v>34</v>
      </c>
      <c r="B45" s="6" t="s">
        <v>1322</v>
      </c>
      <c r="C45" s="505" t="s">
        <v>1324</v>
      </c>
      <c r="D45" s="508">
        <v>2018</v>
      </c>
      <c r="E45" s="16">
        <f t="shared" si="1"/>
        <v>10</v>
      </c>
      <c r="F45" s="37"/>
      <c r="G45" s="58">
        <f t="shared" si="5"/>
        <v>1</v>
      </c>
      <c r="H45" s="349" t="b">
        <f t="shared" si="3"/>
        <v>0</v>
      </c>
      <c r="I45" s="350">
        <f t="shared" si="6"/>
        <v>1</v>
      </c>
    </row>
    <row r="46" spans="1:9" ht="47.25" x14ac:dyDescent="0.25">
      <c r="A46" s="37">
        <v>35</v>
      </c>
      <c r="B46" s="6" t="s">
        <v>1325</v>
      </c>
      <c r="C46" s="505" t="s">
        <v>1323</v>
      </c>
      <c r="D46" s="508">
        <v>2018</v>
      </c>
      <c r="E46" s="16">
        <f t="shared" si="1"/>
        <v>10</v>
      </c>
      <c r="F46" s="37"/>
      <c r="G46" s="58">
        <f t="shared" si="5"/>
        <v>1</v>
      </c>
      <c r="H46" s="349" t="b">
        <f t="shared" si="3"/>
        <v>0</v>
      </c>
      <c r="I46" s="350">
        <f t="shared" si="6"/>
        <v>1</v>
      </c>
    </row>
    <row r="47" spans="1:9" ht="31.5" x14ac:dyDescent="0.25">
      <c r="A47" s="37">
        <v>36</v>
      </c>
      <c r="B47" s="6" t="s">
        <v>1327</v>
      </c>
      <c r="C47" s="505" t="s">
        <v>1326</v>
      </c>
      <c r="D47" s="508">
        <v>2018</v>
      </c>
      <c r="E47" s="16">
        <f t="shared" si="1"/>
        <v>10</v>
      </c>
      <c r="F47" s="37"/>
      <c r="G47" s="58">
        <f t="shared" si="5"/>
        <v>1</v>
      </c>
      <c r="H47" s="349" t="b">
        <f t="shared" si="3"/>
        <v>0</v>
      </c>
      <c r="I47" s="350">
        <f t="shared" si="6"/>
        <v>1</v>
      </c>
    </row>
    <row r="48" spans="1:9" ht="47.25" x14ac:dyDescent="0.25">
      <c r="A48" s="37">
        <v>37</v>
      </c>
      <c r="B48" s="6" t="s">
        <v>1329</v>
      </c>
      <c r="C48" s="505" t="s">
        <v>1328</v>
      </c>
      <c r="D48" s="508">
        <v>2018</v>
      </c>
      <c r="E48" s="16">
        <f t="shared" si="1"/>
        <v>10</v>
      </c>
      <c r="F48" s="37"/>
      <c r="G48" s="58">
        <f t="shared" si="5"/>
        <v>1</v>
      </c>
      <c r="H48" s="349" t="b">
        <f t="shared" si="3"/>
        <v>0</v>
      </c>
      <c r="I48" s="350">
        <f t="shared" si="6"/>
        <v>1</v>
      </c>
    </row>
    <row r="49" spans="1:9" ht="31.5" x14ac:dyDescent="0.25">
      <c r="A49" s="37">
        <v>38</v>
      </c>
      <c r="B49" s="6" t="s">
        <v>1331</v>
      </c>
      <c r="C49" s="505" t="s">
        <v>1330</v>
      </c>
      <c r="D49" s="508">
        <v>2018</v>
      </c>
      <c r="E49" s="16">
        <f t="shared" si="1"/>
        <v>10</v>
      </c>
      <c r="F49" s="37"/>
      <c r="G49" s="58">
        <f t="shared" si="5"/>
        <v>1</v>
      </c>
      <c r="H49" s="349" t="b">
        <f t="shared" si="3"/>
        <v>0</v>
      </c>
      <c r="I49" s="350">
        <f t="shared" si="6"/>
        <v>1</v>
      </c>
    </row>
    <row r="50" spans="1:9" ht="31.5" x14ac:dyDescent="0.25">
      <c r="A50" s="37">
        <v>39</v>
      </c>
      <c r="B50" s="6" t="s">
        <v>1333</v>
      </c>
      <c r="C50" s="505" t="s">
        <v>1332</v>
      </c>
      <c r="D50" s="216">
        <v>2018</v>
      </c>
      <c r="E50" s="16">
        <f t="shared" si="1"/>
        <v>10</v>
      </c>
      <c r="F50" s="37"/>
      <c r="G50" s="58">
        <f t="shared" si="5"/>
        <v>1</v>
      </c>
      <c r="H50" s="349" t="b">
        <f t="shared" si="3"/>
        <v>0</v>
      </c>
      <c r="I50" s="350">
        <f t="shared" si="6"/>
        <v>1</v>
      </c>
    </row>
    <row r="51" spans="1:9" ht="31.5" x14ac:dyDescent="0.25">
      <c r="A51" s="37">
        <v>40</v>
      </c>
      <c r="B51" s="6" t="s">
        <v>1335</v>
      </c>
      <c r="C51" s="505" t="s">
        <v>1334</v>
      </c>
      <c r="D51" s="508">
        <v>2018</v>
      </c>
      <c r="E51" s="16">
        <f t="shared" si="1"/>
        <v>10</v>
      </c>
      <c r="F51" s="37"/>
      <c r="G51" s="58">
        <f t="shared" si="5"/>
        <v>1</v>
      </c>
      <c r="H51" s="349" t="b">
        <f t="shared" si="3"/>
        <v>0</v>
      </c>
      <c r="I51" s="350">
        <f t="shared" si="6"/>
        <v>1</v>
      </c>
    </row>
    <row r="52" spans="1:9" ht="31.5" x14ac:dyDescent="0.25">
      <c r="A52" s="37">
        <v>41</v>
      </c>
      <c r="B52" s="6" t="s">
        <v>1337</v>
      </c>
      <c r="C52" s="505" t="s">
        <v>1336</v>
      </c>
      <c r="D52" s="508">
        <v>2018</v>
      </c>
      <c r="E52" s="16">
        <f t="shared" si="1"/>
        <v>10</v>
      </c>
      <c r="F52" s="37"/>
      <c r="G52" s="58">
        <f t="shared" si="5"/>
        <v>1</v>
      </c>
      <c r="H52" s="349" t="b">
        <f t="shared" si="3"/>
        <v>0</v>
      </c>
      <c r="I52" s="350">
        <f t="shared" si="6"/>
        <v>1</v>
      </c>
    </row>
    <row r="53" spans="1:9" ht="31.5" x14ac:dyDescent="0.25">
      <c r="A53" s="37">
        <v>42</v>
      </c>
      <c r="B53" s="6" t="s">
        <v>1339</v>
      </c>
      <c r="C53" s="505" t="s">
        <v>1338</v>
      </c>
      <c r="D53" s="508">
        <v>2018</v>
      </c>
      <c r="E53" s="16">
        <f t="shared" si="1"/>
        <v>10</v>
      </c>
      <c r="F53" s="37"/>
      <c r="G53" s="58">
        <f t="shared" si="5"/>
        <v>1</v>
      </c>
      <c r="H53" s="349" t="b">
        <f t="shared" si="3"/>
        <v>0</v>
      </c>
      <c r="I53" s="350">
        <f t="shared" si="6"/>
        <v>1</v>
      </c>
    </row>
    <row r="54" spans="1:9" ht="31.5" x14ac:dyDescent="0.25">
      <c r="A54" s="37">
        <v>43</v>
      </c>
      <c r="B54" s="6" t="s">
        <v>1341</v>
      </c>
      <c r="C54" s="505" t="s">
        <v>1340</v>
      </c>
      <c r="D54" s="508">
        <v>2018</v>
      </c>
      <c r="E54" s="16">
        <f t="shared" si="1"/>
        <v>10</v>
      </c>
      <c r="F54" s="37"/>
      <c r="G54" s="58">
        <f t="shared" si="5"/>
        <v>1</v>
      </c>
      <c r="H54" s="349" t="b">
        <f t="shared" si="3"/>
        <v>0</v>
      </c>
      <c r="I54" s="350">
        <f t="shared" si="6"/>
        <v>1</v>
      </c>
    </row>
    <row r="55" spans="1:9" ht="31.5" x14ac:dyDescent="0.25">
      <c r="A55" s="37">
        <v>44</v>
      </c>
      <c r="B55" s="6" t="s">
        <v>1342</v>
      </c>
      <c r="C55" s="505" t="s">
        <v>1344</v>
      </c>
      <c r="D55" s="508">
        <v>2019</v>
      </c>
      <c r="E55" s="16">
        <f t="shared" si="1"/>
        <v>10</v>
      </c>
      <c r="F55" s="37"/>
      <c r="G55" s="58">
        <f t="shared" si="5"/>
        <v>1</v>
      </c>
      <c r="H55" s="349" t="b">
        <f t="shared" si="3"/>
        <v>0</v>
      </c>
      <c r="I55" s="350">
        <f t="shared" si="6"/>
        <v>1</v>
      </c>
    </row>
    <row r="56" spans="1:9" ht="47.25" x14ac:dyDescent="0.25">
      <c r="A56" s="37">
        <v>45</v>
      </c>
      <c r="B56" s="6" t="s">
        <v>1343</v>
      </c>
      <c r="C56" s="505" t="s">
        <v>1345</v>
      </c>
      <c r="D56" s="508">
        <v>2019</v>
      </c>
      <c r="E56" s="16">
        <f t="shared" si="1"/>
        <v>10</v>
      </c>
      <c r="F56" s="37"/>
      <c r="G56" s="58">
        <f t="shared" si="5"/>
        <v>1</v>
      </c>
      <c r="H56" s="349" t="b">
        <f t="shared" si="3"/>
        <v>0</v>
      </c>
      <c r="I56" s="350">
        <f t="shared" si="6"/>
        <v>1</v>
      </c>
    </row>
    <row r="57" spans="1:9" ht="31.5" x14ac:dyDescent="0.25">
      <c r="A57" s="37">
        <v>46</v>
      </c>
      <c r="B57" s="6" t="s">
        <v>1346</v>
      </c>
      <c r="C57" s="505" t="s">
        <v>1351</v>
      </c>
      <c r="D57" s="508">
        <v>2019</v>
      </c>
      <c r="E57" s="16">
        <f t="shared" si="1"/>
        <v>10</v>
      </c>
      <c r="F57" s="37"/>
      <c r="G57" s="58">
        <f t="shared" si="5"/>
        <v>1</v>
      </c>
      <c r="H57" s="349" t="b">
        <f t="shared" si="3"/>
        <v>0</v>
      </c>
      <c r="I57" s="350">
        <f t="shared" si="6"/>
        <v>1</v>
      </c>
    </row>
    <row r="58" spans="1:9" ht="31.5" x14ac:dyDescent="0.25">
      <c r="A58" s="37">
        <v>47</v>
      </c>
      <c r="B58" s="6" t="s">
        <v>1347</v>
      </c>
      <c r="C58" s="6" t="s">
        <v>1352</v>
      </c>
      <c r="D58" s="508">
        <v>2019</v>
      </c>
      <c r="E58" s="16">
        <f t="shared" si="1"/>
        <v>10</v>
      </c>
      <c r="F58" s="37"/>
      <c r="G58" s="58">
        <f t="shared" si="5"/>
        <v>1</v>
      </c>
      <c r="H58" s="349" t="b">
        <f t="shared" si="3"/>
        <v>0</v>
      </c>
      <c r="I58" s="350">
        <f t="shared" si="6"/>
        <v>1</v>
      </c>
    </row>
    <row r="59" spans="1:9" ht="47.25" x14ac:dyDescent="0.25">
      <c r="A59" s="37">
        <v>48</v>
      </c>
      <c r="B59" s="6" t="s">
        <v>1348</v>
      </c>
      <c r="C59" s="6" t="s">
        <v>1353</v>
      </c>
      <c r="D59" s="508">
        <v>2019</v>
      </c>
      <c r="E59" s="16">
        <f t="shared" si="1"/>
        <v>10</v>
      </c>
      <c r="F59" s="37"/>
      <c r="G59" s="58">
        <f t="shared" si="5"/>
        <v>1</v>
      </c>
      <c r="H59" s="349" t="b">
        <f t="shared" si="3"/>
        <v>0</v>
      </c>
      <c r="I59" s="350">
        <f t="shared" si="6"/>
        <v>1</v>
      </c>
    </row>
    <row r="60" spans="1:9" ht="47.25" x14ac:dyDescent="0.25">
      <c r="A60" s="37">
        <v>49</v>
      </c>
      <c r="B60" s="6" t="s">
        <v>1349</v>
      </c>
      <c r="C60" s="6" t="s">
        <v>1354</v>
      </c>
      <c r="D60" s="508">
        <v>2019</v>
      </c>
      <c r="E60" s="16">
        <f t="shared" si="1"/>
        <v>10</v>
      </c>
      <c r="F60" s="37"/>
      <c r="G60" s="58">
        <f t="shared" si="5"/>
        <v>1</v>
      </c>
      <c r="H60" s="349" t="b">
        <f t="shared" si="3"/>
        <v>0</v>
      </c>
      <c r="I60" s="350">
        <f t="shared" si="6"/>
        <v>1</v>
      </c>
    </row>
    <row r="61" spans="1:9" x14ac:dyDescent="0.25">
      <c r="A61" s="37">
        <v>50</v>
      </c>
      <c r="B61" s="6" t="s">
        <v>1355</v>
      </c>
      <c r="C61" s="6" t="s">
        <v>1350</v>
      </c>
      <c r="D61" s="216">
        <v>2019</v>
      </c>
      <c r="E61" s="16">
        <f t="shared" si="1"/>
        <v>10</v>
      </c>
      <c r="F61" s="37"/>
      <c r="G61" s="58">
        <f t="shared" si="5"/>
        <v>1</v>
      </c>
      <c r="H61" s="349" t="b">
        <f t="shared" si="3"/>
        <v>0</v>
      </c>
      <c r="I61" s="350">
        <f t="shared" si="6"/>
        <v>1</v>
      </c>
    </row>
    <row r="62" spans="1:9" ht="31.5" x14ac:dyDescent="0.25">
      <c r="A62" s="37">
        <v>51</v>
      </c>
      <c r="B62" s="6" t="s">
        <v>1461</v>
      </c>
      <c r="C62" s="6" t="s">
        <v>1462</v>
      </c>
      <c r="D62" s="216">
        <v>2018</v>
      </c>
      <c r="E62" s="16">
        <f t="shared" si="1"/>
        <v>10</v>
      </c>
      <c r="F62" s="37"/>
      <c r="G62" s="58">
        <f t="shared" si="5"/>
        <v>1</v>
      </c>
      <c r="H62" s="349" t="b">
        <f t="shared" si="3"/>
        <v>0</v>
      </c>
      <c r="I62" s="350">
        <f t="shared" si="6"/>
        <v>1</v>
      </c>
    </row>
    <row r="63" spans="1:9" ht="31.5" x14ac:dyDescent="0.25">
      <c r="A63" s="37">
        <v>52</v>
      </c>
      <c r="B63" s="6" t="s">
        <v>1460</v>
      </c>
      <c r="C63" s="6" t="s">
        <v>1463</v>
      </c>
      <c r="D63" s="216">
        <v>2018</v>
      </c>
      <c r="E63" s="16">
        <f t="shared" si="1"/>
        <v>10</v>
      </c>
      <c r="F63" s="37"/>
      <c r="G63" s="58">
        <f t="shared" si="5"/>
        <v>1</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24" sqref="D24"/>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6" x14ac:dyDescent="0.2">
      <c r="A2" s="346" t="str">
        <f>IF(ISBLANK(facultate), IF(ISBLANK(departament),"","Departament " &amp; departament), "Facultatea " &amp; facultate)</f>
        <v>Facultatea Electronică și Telecomunicații</v>
      </c>
      <c r="E2" s="61"/>
      <c r="F2" s="63"/>
      <c r="G2" s="62"/>
      <c r="H2" s="289"/>
    </row>
    <row r="3" spans="1:8" s="60" customFormat="1" ht="15.6" x14ac:dyDescent="0.2">
      <c r="A3" s="346" t="str">
        <f>IF(ISBLANK(departament),"","Departamentul " &amp; departament)</f>
        <v>Departamentul Electronică Aplicată</v>
      </c>
      <c r="E3" s="61"/>
      <c r="F3" s="63"/>
      <c r="G3" s="62"/>
      <c r="H3" s="289"/>
    </row>
    <row r="4" spans="1:8" s="64" customFormat="1" ht="15.75" x14ac:dyDescent="0.25">
      <c r="B4" s="290"/>
      <c r="C4" s="290" t="s">
        <v>784</v>
      </c>
      <c r="D4" s="290"/>
      <c r="E4" s="290"/>
      <c r="F4" s="290"/>
      <c r="G4" s="226"/>
      <c r="H4" s="291"/>
    </row>
    <row r="5" spans="1:8" s="64" customFormat="1" ht="15.75" x14ac:dyDescent="0.25">
      <c r="B5" s="290"/>
      <c r="C5" s="290" t="s">
        <v>781</v>
      </c>
      <c r="D5" s="290"/>
      <c r="E5" s="290"/>
      <c r="F5" s="290"/>
      <c r="G5" s="226"/>
      <c r="H5" s="71"/>
    </row>
    <row r="6" spans="1:8" s="64" customFormat="1" ht="13.5" customHeight="1" x14ac:dyDescent="0.3">
      <c r="A6" s="60"/>
      <c r="D6" s="347" t="str">
        <f>CONCATENATE(functie," ",nume_candidat)</f>
        <v>Profesor Lascu Dan</v>
      </c>
      <c r="G6" s="70"/>
      <c r="H6" s="71"/>
    </row>
    <row r="7" spans="1:8" ht="15" customHeight="1" x14ac:dyDescent="0.25">
      <c r="B7" s="567" t="s">
        <v>817</v>
      </c>
      <c r="C7" s="567" t="s">
        <v>2</v>
      </c>
      <c r="D7" s="557" t="s">
        <v>544</v>
      </c>
    </row>
    <row r="8" spans="1:8" ht="15" customHeight="1" x14ac:dyDescent="0.25">
      <c r="B8" s="568"/>
      <c r="C8" s="568"/>
      <c r="D8" s="574"/>
    </row>
    <row r="9" spans="1:8" ht="15" customHeight="1" x14ac:dyDescent="0.25">
      <c r="B9" s="568"/>
      <c r="C9" s="568"/>
      <c r="D9" s="574"/>
    </row>
    <row r="10" spans="1:8" ht="15.75" customHeight="1" x14ac:dyDescent="0.25">
      <c r="B10" s="569"/>
      <c r="C10" s="569"/>
      <c r="D10" s="558"/>
    </row>
    <row r="11" spans="1:8" ht="15.75" x14ac:dyDescent="0.25">
      <c r="B11" s="37">
        <v>153.08000000000001</v>
      </c>
      <c r="C11" s="436">
        <v>2018</v>
      </c>
      <c r="D11" s="351">
        <f>IF( ISBLANK(B11), "", IF(IF(C11&lt;2018,B11*10,B11) &lt; 0, "Eroare punctaj negativ",  IF(IF(C11&lt;2018,B11*10,B11) &gt; 200, "Eroare depășire punctaj maxim",  IF(C11&lt;2018,B11*10,B11))))</f>
        <v>153.08000000000001</v>
      </c>
    </row>
    <row r="12" spans="1:8" ht="14.45" x14ac:dyDescent="0.3">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D22" sqref="D22"/>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ht="15.6" x14ac:dyDescent="0.2">
      <c r="A2" s="346" t="str">
        <f>IF(ISBLANK(facultate), IF(ISBLANK(departament),"","Departament " &amp; departament), "Facultatea " &amp; facultate)</f>
        <v>Facultatea Electronică și Telecomunicații</v>
      </c>
      <c r="E2" s="61"/>
      <c r="F2" s="63"/>
      <c r="G2" s="62"/>
      <c r="H2" s="289"/>
    </row>
    <row r="3" spans="1:9" s="60" customFormat="1" ht="15.6" x14ac:dyDescent="0.2">
      <c r="A3" s="346" t="str">
        <f>IF(ISBLANK(departament),"","Departamentul " &amp; departament)</f>
        <v>Departamentul Electronică Aplicată</v>
      </c>
      <c r="E3" s="61"/>
      <c r="F3" s="63"/>
      <c r="G3" s="62"/>
      <c r="H3" s="289"/>
    </row>
    <row r="4" spans="1:9" x14ac:dyDescent="0.25">
      <c r="A4" s="559" t="s">
        <v>784</v>
      </c>
      <c r="B4" s="559"/>
      <c r="C4" s="559"/>
      <c r="D4" s="559"/>
      <c r="E4" s="559"/>
      <c r="F4" s="559"/>
      <c r="G4" s="226"/>
      <c r="H4" s="291"/>
    </row>
    <row r="5" spans="1:9" x14ac:dyDescent="0.25">
      <c r="A5" s="559" t="s">
        <v>810</v>
      </c>
      <c r="B5" s="559"/>
      <c r="C5" s="559"/>
      <c r="D5" s="559"/>
      <c r="E5" s="559"/>
      <c r="F5" s="559"/>
      <c r="G5" s="226"/>
    </row>
    <row r="6" spans="1:9" ht="13.5" customHeight="1" x14ac:dyDescent="0.3">
      <c r="E6" s="64"/>
      <c r="F6" s="347" t="str">
        <f>CONCATENATE(functie," ",nume_candidat)</f>
        <v>Profesor Lascu Dan</v>
      </c>
    </row>
    <row r="7" spans="1:9" ht="18.75" customHeight="1" x14ac:dyDescent="0.25">
      <c r="A7" s="557" t="s">
        <v>338</v>
      </c>
      <c r="B7" s="567" t="s">
        <v>783</v>
      </c>
      <c r="C7" s="567" t="s">
        <v>782</v>
      </c>
      <c r="D7" s="567" t="s">
        <v>814</v>
      </c>
      <c r="E7" s="567" t="s">
        <v>2</v>
      </c>
      <c r="F7" s="557" t="s">
        <v>544</v>
      </c>
      <c r="G7" s="557" t="s">
        <v>4</v>
      </c>
      <c r="H7" s="578" t="s">
        <v>541</v>
      </c>
      <c r="I7" s="564" t="s">
        <v>551</v>
      </c>
    </row>
    <row r="8" spans="1:9" ht="18.75" customHeight="1" x14ac:dyDescent="0.25">
      <c r="A8" s="574"/>
      <c r="B8" s="568"/>
      <c r="C8" s="568"/>
      <c r="D8" s="568"/>
      <c r="E8" s="568"/>
      <c r="F8" s="574"/>
      <c r="G8" s="574"/>
      <c r="H8" s="579"/>
      <c r="I8" s="564"/>
    </row>
    <row r="9" spans="1:9" ht="18.75" customHeight="1" x14ac:dyDescent="0.25">
      <c r="A9" s="574"/>
      <c r="B9" s="568"/>
      <c r="C9" s="568"/>
      <c r="D9" s="568"/>
      <c r="E9" s="568"/>
      <c r="F9" s="558"/>
      <c r="G9" s="558"/>
      <c r="H9" s="579"/>
      <c r="I9" s="564"/>
    </row>
    <row r="10" spans="1:9" ht="18.75" customHeight="1" x14ac:dyDescent="0.25">
      <c r="A10" s="558"/>
      <c r="B10" s="569"/>
      <c r="C10" s="569"/>
      <c r="D10" s="569"/>
      <c r="E10" s="569"/>
      <c r="F10" s="348" t="str">
        <f>CONCATENATE("ultimii ",durata_evaluare," ani")</f>
        <v>ultimii 5 ani</v>
      </c>
      <c r="G10" s="348" t="str">
        <f>CONCATENATE("ultimii                                  ",durata_evaluare," ani")</f>
        <v>ultimii                                  5 ani</v>
      </c>
      <c r="H10" s="580"/>
      <c r="I10" s="564"/>
    </row>
    <row r="11" spans="1:9" ht="15.6" x14ac:dyDescent="0.3">
      <c r="A11" s="88"/>
      <c r="B11" s="65"/>
      <c r="C11" s="65"/>
      <c r="D11" s="65"/>
      <c r="E11" s="30"/>
      <c r="F11" s="148">
        <f>SUMIF(F12:F1012,"&gt;0")</f>
        <v>0</v>
      </c>
      <c r="G11" s="4">
        <f t="shared" ref="G11" si="0">SUMIF(G12:G110,"&gt;0")</f>
        <v>0</v>
      </c>
      <c r="H11" s="298"/>
    </row>
    <row r="12" spans="1:9" x14ac:dyDescent="0.25">
      <c r="A12" s="37">
        <v>1</v>
      </c>
      <c r="B12" s="7"/>
      <c r="C12" s="7"/>
      <c r="D12" s="7"/>
      <c r="E12" s="220"/>
      <c r="F12" s="16" t="str">
        <f t="shared" ref="F12:F75" si="1">IF(OR($B12="",$C12="",$E12&lt;an_initial,$E12&gt;an_final),"",G12 * (INDEX(i6punctaje, MATCH(C12,i6anvergură,0), MATCH(D12,i6rol,0) )) )</f>
        <v/>
      </c>
      <c r="G12" s="58" t="str">
        <f t="shared" ref="G12:G43" si="2">IF(OR($B12="",$C12="",$E12="",$E12&gt;an_final),"",IF($E12&gt;=an_initial,1,""))</f>
        <v/>
      </c>
      <c r="H12" s="349" t="b">
        <f t="shared" ref="H12:H75" si="3">IF(nume_candidat="",FALSE,ISNUMBER(SEARCH(nume_candidat,$B12)))</f>
        <v>0</v>
      </c>
      <c r="I12" s="350">
        <f t="shared" ref="I12:I43" si="4">LEN(B12)-LEN(SUBSTITUTE(B12,",",""))+1</f>
        <v>1</v>
      </c>
    </row>
    <row r="13" spans="1:9" x14ac:dyDescent="0.25">
      <c r="A13" s="37">
        <v>2</v>
      </c>
      <c r="B13" s="7"/>
      <c r="C13" s="7"/>
      <c r="D13" s="7"/>
      <c r="E13" s="220"/>
      <c r="F13" s="16" t="str">
        <f t="shared" si="1"/>
        <v/>
      </c>
      <c r="G13" s="58" t="str">
        <f t="shared" si="2"/>
        <v/>
      </c>
      <c r="H13" s="349" t="b">
        <f t="shared" si="3"/>
        <v>0</v>
      </c>
      <c r="I13" s="350">
        <f t="shared" si="4"/>
        <v>1</v>
      </c>
    </row>
    <row r="14" spans="1:9" x14ac:dyDescent="0.25">
      <c r="A14" s="37">
        <v>3</v>
      </c>
      <c r="B14" s="7"/>
      <c r="C14" s="7"/>
      <c r="D14" s="7"/>
      <c r="E14" s="220"/>
      <c r="F14" s="16" t="str">
        <f t="shared" si="1"/>
        <v/>
      </c>
      <c r="G14" s="58" t="str">
        <f t="shared" si="2"/>
        <v/>
      </c>
      <c r="H14" s="349" t="b">
        <f t="shared" si="3"/>
        <v>0</v>
      </c>
      <c r="I14" s="350">
        <f t="shared" si="4"/>
        <v>1</v>
      </c>
    </row>
    <row r="15" spans="1:9" ht="15.6" x14ac:dyDescent="0.3">
      <c r="A15" s="37">
        <v>4</v>
      </c>
      <c r="B15" s="6"/>
      <c r="C15" s="6"/>
      <c r="D15" s="6"/>
      <c r="E15" s="216"/>
      <c r="F15" s="16" t="str">
        <f t="shared" si="1"/>
        <v/>
      </c>
      <c r="G15" s="58" t="str">
        <f t="shared" si="2"/>
        <v/>
      </c>
      <c r="H15" s="349" t="b">
        <f t="shared" si="3"/>
        <v>0</v>
      </c>
      <c r="I15" s="350">
        <f t="shared" si="4"/>
        <v>1</v>
      </c>
    </row>
    <row r="16" spans="1:9" ht="15.6" x14ac:dyDescent="0.3">
      <c r="A16" s="37">
        <v>5</v>
      </c>
      <c r="B16" s="6"/>
      <c r="C16" s="6"/>
      <c r="D16" s="6"/>
      <c r="E16" s="216"/>
      <c r="F16" s="16" t="str">
        <f t="shared" si="1"/>
        <v/>
      </c>
      <c r="G16" s="58" t="str">
        <f t="shared" si="2"/>
        <v/>
      </c>
      <c r="H16" s="349" t="b">
        <f t="shared" si="3"/>
        <v>0</v>
      </c>
      <c r="I16" s="350">
        <f t="shared" si="4"/>
        <v>1</v>
      </c>
    </row>
    <row r="17" spans="1:9" ht="15.6" x14ac:dyDescent="0.3">
      <c r="A17" s="37">
        <v>6</v>
      </c>
      <c r="B17" s="6"/>
      <c r="C17" s="6"/>
      <c r="D17" s="6"/>
      <c r="E17" s="216"/>
      <c r="F17" s="16" t="str">
        <f t="shared" si="1"/>
        <v/>
      </c>
      <c r="G17" s="58" t="str">
        <f t="shared" si="2"/>
        <v/>
      </c>
      <c r="H17" s="349" t="b">
        <f t="shared" si="3"/>
        <v>0</v>
      </c>
      <c r="I17" s="350">
        <f t="shared" si="4"/>
        <v>1</v>
      </c>
    </row>
    <row r="18" spans="1:9" ht="15.6" x14ac:dyDescent="0.3">
      <c r="A18" s="37">
        <v>7</v>
      </c>
      <c r="B18" s="6"/>
      <c r="C18" s="6"/>
      <c r="D18" s="6"/>
      <c r="E18" s="216"/>
      <c r="F18" s="16" t="str">
        <f t="shared" si="1"/>
        <v/>
      </c>
      <c r="G18" s="58" t="str">
        <f t="shared" si="2"/>
        <v/>
      </c>
      <c r="H18" s="349" t="b">
        <f t="shared" si="3"/>
        <v>0</v>
      </c>
      <c r="I18" s="350">
        <f t="shared" si="4"/>
        <v>1</v>
      </c>
    </row>
    <row r="19" spans="1:9" ht="15.6" x14ac:dyDescent="0.3">
      <c r="A19" s="37">
        <v>8</v>
      </c>
      <c r="B19" s="6"/>
      <c r="C19" s="6"/>
      <c r="D19" s="6"/>
      <c r="E19" s="216"/>
      <c r="F19" s="16" t="str">
        <f t="shared" si="1"/>
        <v/>
      </c>
      <c r="G19" s="58" t="str">
        <f t="shared" si="2"/>
        <v/>
      </c>
      <c r="H19" s="349" t="b">
        <f t="shared" si="3"/>
        <v>0</v>
      </c>
      <c r="I19" s="350">
        <f t="shared" si="4"/>
        <v>1</v>
      </c>
    </row>
    <row r="20" spans="1:9" ht="15.6" x14ac:dyDescent="0.3">
      <c r="A20" s="37">
        <v>9</v>
      </c>
      <c r="B20" s="6"/>
      <c r="C20" s="6"/>
      <c r="D20" s="6"/>
      <c r="E20" s="216"/>
      <c r="F20" s="16" t="str">
        <f t="shared" si="1"/>
        <v/>
      </c>
      <c r="G20" s="58" t="str">
        <f t="shared" si="2"/>
        <v/>
      </c>
      <c r="H20" s="349" t="b">
        <f t="shared" si="3"/>
        <v>0</v>
      </c>
      <c r="I20" s="350">
        <f t="shared" si="4"/>
        <v>1</v>
      </c>
    </row>
    <row r="21" spans="1:9" ht="15.6" x14ac:dyDescent="0.3">
      <c r="A21" s="37">
        <v>10</v>
      </c>
      <c r="B21" s="6"/>
      <c r="C21" s="6"/>
      <c r="D21" s="6"/>
      <c r="E21" s="216"/>
      <c r="F21" s="16" t="str">
        <f t="shared" si="1"/>
        <v/>
      </c>
      <c r="G21" s="58" t="str">
        <f t="shared" si="2"/>
        <v/>
      </c>
      <c r="H21" s="349" t="b">
        <f t="shared" si="3"/>
        <v>0</v>
      </c>
      <c r="I21" s="350">
        <f t="shared" si="4"/>
        <v>1</v>
      </c>
    </row>
    <row r="22" spans="1:9" ht="15.6" x14ac:dyDescent="0.3">
      <c r="A22" s="37">
        <v>11</v>
      </c>
      <c r="B22" s="6"/>
      <c r="C22" s="6"/>
      <c r="D22" s="6"/>
      <c r="E22" s="216"/>
      <c r="F22" s="16" t="str">
        <f t="shared" si="1"/>
        <v/>
      </c>
      <c r="G22" s="58" t="str">
        <f t="shared" si="2"/>
        <v/>
      </c>
      <c r="H22" s="349" t="b">
        <f t="shared" si="3"/>
        <v>0</v>
      </c>
      <c r="I22" s="350">
        <f t="shared" si="4"/>
        <v>1</v>
      </c>
    </row>
    <row r="23" spans="1:9" ht="15.6" x14ac:dyDescent="0.3">
      <c r="A23" s="37">
        <v>12</v>
      </c>
      <c r="B23" s="6"/>
      <c r="C23" s="6"/>
      <c r="D23" s="6"/>
      <c r="E23" s="216"/>
      <c r="F23" s="16" t="str">
        <f t="shared" si="1"/>
        <v/>
      </c>
      <c r="G23" s="58" t="str">
        <f t="shared" si="2"/>
        <v/>
      </c>
      <c r="H23" s="349" t="b">
        <f t="shared" si="3"/>
        <v>0</v>
      </c>
      <c r="I23" s="350">
        <f t="shared" si="4"/>
        <v>1</v>
      </c>
    </row>
    <row r="24" spans="1:9" ht="15.6" x14ac:dyDescent="0.3">
      <c r="A24" s="37">
        <v>13</v>
      </c>
      <c r="B24" s="6"/>
      <c r="C24" s="6"/>
      <c r="D24" s="6"/>
      <c r="E24" s="216"/>
      <c r="F24" s="16" t="str">
        <f t="shared" si="1"/>
        <v/>
      </c>
      <c r="G24" s="58" t="str">
        <f t="shared" si="2"/>
        <v/>
      </c>
      <c r="H24" s="349" t="b">
        <f t="shared" si="3"/>
        <v>0</v>
      </c>
      <c r="I24" s="350">
        <f t="shared" si="4"/>
        <v>1</v>
      </c>
    </row>
    <row r="25" spans="1:9" ht="15.6" x14ac:dyDescent="0.3">
      <c r="A25" s="37">
        <v>14</v>
      </c>
      <c r="B25" s="6"/>
      <c r="C25" s="6"/>
      <c r="D25" s="6"/>
      <c r="E25" s="216"/>
      <c r="F25" s="16" t="str">
        <f t="shared" si="1"/>
        <v/>
      </c>
      <c r="G25" s="58" t="str">
        <f t="shared" si="2"/>
        <v/>
      </c>
      <c r="H25" s="349" t="b">
        <f t="shared" si="3"/>
        <v>0</v>
      </c>
      <c r="I25" s="350">
        <f t="shared" si="4"/>
        <v>1</v>
      </c>
    </row>
    <row r="26" spans="1:9" ht="15.6" x14ac:dyDescent="0.3">
      <c r="A26" s="37">
        <v>15</v>
      </c>
      <c r="B26" s="6"/>
      <c r="C26" s="6"/>
      <c r="D26" s="6"/>
      <c r="E26" s="216"/>
      <c r="F26" s="16" t="str">
        <f t="shared" si="1"/>
        <v/>
      </c>
      <c r="G26" s="58" t="str">
        <f t="shared" si="2"/>
        <v/>
      </c>
      <c r="H26" s="349" t="b">
        <f t="shared" si="3"/>
        <v>0</v>
      </c>
      <c r="I26" s="350">
        <f t="shared" si="4"/>
        <v>1</v>
      </c>
    </row>
    <row r="27" spans="1:9" ht="15.6" x14ac:dyDescent="0.3">
      <c r="A27" s="37">
        <v>16</v>
      </c>
      <c r="B27" s="6"/>
      <c r="C27" s="6"/>
      <c r="D27" s="6"/>
      <c r="E27" s="216"/>
      <c r="F27" s="16" t="str">
        <f t="shared" si="1"/>
        <v/>
      </c>
      <c r="G27" s="58" t="str">
        <f t="shared" si="2"/>
        <v/>
      </c>
      <c r="H27" s="349" t="b">
        <f t="shared" si="3"/>
        <v>0</v>
      </c>
      <c r="I27" s="350">
        <f t="shared" si="4"/>
        <v>1</v>
      </c>
    </row>
    <row r="28" spans="1:9" ht="15.6" x14ac:dyDescent="0.3">
      <c r="A28" s="37">
        <v>17</v>
      </c>
      <c r="B28" s="6"/>
      <c r="C28" s="6"/>
      <c r="D28" s="6"/>
      <c r="E28" s="216"/>
      <c r="F28" s="16" t="str">
        <f t="shared" si="1"/>
        <v/>
      </c>
      <c r="G28" s="58" t="str">
        <f t="shared" si="2"/>
        <v/>
      </c>
      <c r="H28" s="349" t="b">
        <f t="shared" si="3"/>
        <v>0</v>
      </c>
      <c r="I28" s="350">
        <f t="shared" si="4"/>
        <v>1</v>
      </c>
    </row>
    <row r="29" spans="1:9" ht="15.6" x14ac:dyDescent="0.3">
      <c r="A29" s="37">
        <v>18</v>
      </c>
      <c r="B29" s="6"/>
      <c r="C29" s="6"/>
      <c r="D29" s="6"/>
      <c r="E29" s="216"/>
      <c r="F29" s="16" t="str">
        <f t="shared" si="1"/>
        <v/>
      </c>
      <c r="G29" s="58" t="str">
        <f t="shared" si="2"/>
        <v/>
      </c>
      <c r="H29" s="349" t="b">
        <f t="shared" si="3"/>
        <v>0</v>
      </c>
      <c r="I29" s="350">
        <f t="shared" si="4"/>
        <v>1</v>
      </c>
    </row>
    <row r="30" spans="1:9" ht="15.6" x14ac:dyDescent="0.3">
      <c r="A30" s="37">
        <v>19</v>
      </c>
      <c r="B30" s="6"/>
      <c r="C30" s="6"/>
      <c r="D30" s="6"/>
      <c r="E30" s="216"/>
      <c r="F30" s="16" t="str">
        <f t="shared" si="1"/>
        <v/>
      </c>
      <c r="G30" s="58" t="str">
        <f t="shared" si="2"/>
        <v/>
      </c>
      <c r="H30" s="349" t="b">
        <f t="shared" si="3"/>
        <v>0</v>
      </c>
      <c r="I30" s="350">
        <f t="shared" si="4"/>
        <v>1</v>
      </c>
    </row>
    <row r="31" spans="1:9" ht="15.6" x14ac:dyDescent="0.3">
      <c r="A31" s="37">
        <v>20</v>
      </c>
      <c r="B31" s="6"/>
      <c r="C31" s="6"/>
      <c r="D31" s="6"/>
      <c r="E31" s="216"/>
      <c r="F31" s="16" t="str">
        <f t="shared" si="1"/>
        <v/>
      </c>
      <c r="G31" s="58" t="str">
        <f t="shared" si="2"/>
        <v/>
      </c>
      <c r="H31" s="349" t="b">
        <f t="shared" si="3"/>
        <v>0</v>
      </c>
      <c r="I31" s="350">
        <f t="shared" si="4"/>
        <v>1</v>
      </c>
    </row>
    <row r="32" spans="1:9" ht="15.6" x14ac:dyDescent="0.3">
      <c r="A32" s="37">
        <v>21</v>
      </c>
      <c r="B32" s="6"/>
      <c r="C32" s="6"/>
      <c r="D32" s="6"/>
      <c r="E32" s="216"/>
      <c r="F32" s="16" t="str">
        <f t="shared" si="1"/>
        <v/>
      </c>
      <c r="G32" s="58" t="str">
        <f t="shared" si="2"/>
        <v/>
      </c>
      <c r="H32" s="349" t="b">
        <f t="shared" si="3"/>
        <v>0</v>
      </c>
      <c r="I32" s="350">
        <f t="shared" si="4"/>
        <v>1</v>
      </c>
    </row>
    <row r="33" spans="1:9" ht="15.6" x14ac:dyDescent="0.3">
      <c r="A33" s="37">
        <v>22</v>
      </c>
      <c r="B33" s="6"/>
      <c r="C33" s="6"/>
      <c r="D33" s="6"/>
      <c r="E33" s="216"/>
      <c r="F33" s="16" t="str">
        <f t="shared" si="1"/>
        <v/>
      </c>
      <c r="G33" s="58" t="str">
        <f t="shared" si="2"/>
        <v/>
      </c>
      <c r="H33" s="349" t="b">
        <f t="shared" si="3"/>
        <v>0</v>
      </c>
      <c r="I33" s="350">
        <f t="shared" si="4"/>
        <v>1</v>
      </c>
    </row>
    <row r="34" spans="1:9" ht="15.6" x14ac:dyDescent="0.3">
      <c r="A34" s="37">
        <v>23</v>
      </c>
      <c r="B34" s="6"/>
      <c r="C34" s="6"/>
      <c r="D34" s="6"/>
      <c r="E34" s="216"/>
      <c r="F34" s="16" t="str">
        <f t="shared" si="1"/>
        <v/>
      </c>
      <c r="G34" s="58" t="str">
        <f t="shared" si="2"/>
        <v/>
      </c>
      <c r="H34" s="349" t="b">
        <f t="shared" si="3"/>
        <v>0</v>
      </c>
      <c r="I34" s="350">
        <f t="shared" si="4"/>
        <v>1</v>
      </c>
    </row>
    <row r="35" spans="1:9" ht="15.6" x14ac:dyDescent="0.3">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D27" sqref="D27"/>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ht="15.6" x14ac:dyDescent="0.3">
      <c r="A2" s="346" t="str">
        <f>IF(ISBLANK(facultate), IF(ISBLANK(departament),"","Departament " &amp; departament), "Facultatea " &amp; facultate)</f>
        <v>Facultatea Electronică și Telecomunicații</v>
      </c>
      <c r="E2" s="61"/>
      <c r="F2" s="63"/>
      <c r="G2" s="50"/>
      <c r="H2" s="62"/>
      <c r="I2" s="289"/>
      <c r="K2"/>
    </row>
    <row r="3" spans="1:11" s="60" customFormat="1" ht="15.6" x14ac:dyDescent="0.3">
      <c r="A3" s="346" t="str">
        <f>IF(ISBLANK(departament),"","Departamentul " &amp; departament)</f>
        <v>Departamentul Electronică Aplicată</v>
      </c>
      <c r="E3" s="61"/>
      <c r="F3" s="63"/>
      <c r="G3" s="50"/>
      <c r="H3" s="62"/>
      <c r="I3" s="289"/>
      <c r="K3"/>
    </row>
    <row r="4" spans="1:11" x14ac:dyDescent="0.25">
      <c r="A4" s="559" t="s">
        <v>784</v>
      </c>
      <c r="B4" s="559"/>
      <c r="C4" s="559"/>
      <c r="D4" s="559"/>
      <c r="E4" s="559"/>
      <c r="F4" s="559"/>
      <c r="G4" s="423"/>
      <c r="H4" s="226"/>
      <c r="I4" s="291"/>
    </row>
    <row r="5" spans="1:11" x14ac:dyDescent="0.25">
      <c r="A5" s="559" t="s">
        <v>823</v>
      </c>
      <c r="B5" s="559"/>
      <c r="C5" s="559"/>
      <c r="D5" s="559"/>
      <c r="E5" s="559"/>
      <c r="F5" s="559"/>
      <c r="G5" s="423"/>
      <c r="H5" s="226"/>
    </row>
    <row r="6" spans="1:11" ht="13.5" customHeight="1" x14ac:dyDescent="0.3">
      <c r="E6" s="64"/>
      <c r="F6" s="347" t="str">
        <f>CONCATENATE(functie," ",nume_candidat)</f>
        <v>Profesor Lascu Dan</v>
      </c>
      <c r="G6" s="347" t="str">
        <f>CONCATENATE(functie," ",nume_candidat)</f>
        <v>Profesor Lascu Dan</v>
      </c>
    </row>
    <row r="7" spans="1:11" ht="18.75" customHeight="1" x14ac:dyDescent="0.25">
      <c r="A7" s="557" t="s">
        <v>338</v>
      </c>
      <c r="B7" s="567" t="s">
        <v>825</v>
      </c>
      <c r="C7" s="567" t="s">
        <v>782</v>
      </c>
      <c r="D7" s="567" t="s">
        <v>824</v>
      </c>
      <c r="E7" s="567" t="s">
        <v>2</v>
      </c>
      <c r="F7" s="557" t="s">
        <v>544</v>
      </c>
      <c r="G7" s="567" t="s">
        <v>1102</v>
      </c>
      <c r="H7" s="557" t="s">
        <v>4</v>
      </c>
      <c r="I7" s="578" t="s">
        <v>541</v>
      </c>
      <c r="J7" s="564" t="s">
        <v>551</v>
      </c>
    </row>
    <row r="8" spans="1:11" ht="18.75" customHeight="1" x14ac:dyDescent="0.25">
      <c r="A8" s="574"/>
      <c r="B8" s="568"/>
      <c r="C8" s="568"/>
      <c r="D8" s="568"/>
      <c r="E8" s="568"/>
      <c r="F8" s="574"/>
      <c r="G8" s="568"/>
      <c r="H8" s="574"/>
      <c r="I8" s="579"/>
      <c r="J8" s="564"/>
    </row>
    <row r="9" spans="1:11" ht="18.75" customHeight="1" x14ac:dyDescent="0.25">
      <c r="A9" s="574"/>
      <c r="B9" s="568"/>
      <c r="C9" s="568"/>
      <c r="D9" s="568"/>
      <c r="E9" s="568"/>
      <c r="F9" s="558"/>
      <c r="G9" s="568"/>
      <c r="H9" s="558"/>
      <c r="I9" s="579"/>
      <c r="J9" s="564"/>
    </row>
    <row r="10" spans="1:11" ht="18.75" customHeight="1" x14ac:dyDescent="0.25">
      <c r="A10" s="558"/>
      <c r="B10" s="569"/>
      <c r="C10" s="569"/>
      <c r="D10" s="569"/>
      <c r="E10" s="569"/>
      <c r="F10" s="348" t="str">
        <f>CONCATENATE("ultimii ",durata_evaluare," ani")</f>
        <v>ultimii 5 ani</v>
      </c>
      <c r="G10" s="569"/>
      <c r="H10" s="348" t="str">
        <f>CONCATENATE("ultimii                                  ",durata_evaluare," ani")</f>
        <v>ultimii                                  5 ani</v>
      </c>
      <c r="I10" s="580"/>
      <c r="J10" s="564"/>
    </row>
    <row r="11" spans="1:11" ht="15.6" x14ac:dyDescent="0.3">
      <c r="A11" s="88"/>
      <c r="B11" s="65"/>
      <c r="C11" s="65"/>
      <c r="D11" s="65"/>
      <c r="E11" s="30"/>
      <c r="F11" s="148">
        <f>SUMIF(F12:F1012,"&gt;0")</f>
        <v>0</v>
      </c>
      <c r="G11" s="435"/>
      <c r="H11" s="4">
        <f t="shared" ref="H11" si="0">SUMIF(H12:H110,"&gt;0")</f>
        <v>0</v>
      </c>
      <c r="I11" s="298"/>
    </row>
    <row r="12" spans="1:11" x14ac:dyDescent="0.25">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25">
      <c r="A13" s="37">
        <v>2</v>
      </c>
      <c r="B13" s="7"/>
      <c r="C13" s="7"/>
      <c r="D13" s="7"/>
      <c r="E13" s="220"/>
      <c r="F13" s="16" t="str">
        <f t="shared" si="1"/>
        <v/>
      </c>
      <c r="G13" s="37"/>
      <c r="H13" s="58" t="str">
        <f t="shared" si="2"/>
        <v/>
      </c>
      <c r="I13" s="349" t="b">
        <f t="shared" si="3"/>
        <v>0</v>
      </c>
      <c r="J13" s="350">
        <f t="shared" si="4"/>
        <v>1</v>
      </c>
    </row>
    <row r="14" spans="1:11" x14ac:dyDescent="0.25">
      <c r="A14" s="37">
        <v>3</v>
      </c>
      <c r="B14" s="7"/>
      <c r="C14" s="7"/>
      <c r="D14" s="7"/>
      <c r="E14" s="220"/>
      <c r="F14" s="16" t="str">
        <f t="shared" si="1"/>
        <v/>
      </c>
      <c r="G14" s="37"/>
      <c r="H14" s="58" t="str">
        <f t="shared" si="2"/>
        <v/>
      </c>
      <c r="I14" s="349" t="b">
        <f t="shared" si="3"/>
        <v>0</v>
      </c>
      <c r="J14" s="350">
        <f t="shared" si="4"/>
        <v>1</v>
      </c>
    </row>
    <row r="15" spans="1:11" x14ac:dyDescent="0.25">
      <c r="A15" s="37">
        <v>4</v>
      </c>
      <c r="B15" s="380"/>
      <c r="C15" s="380"/>
      <c r="D15" s="380"/>
      <c r="E15" s="402"/>
      <c r="F15" s="16" t="str">
        <f t="shared" si="1"/>
        <v/>
      </c>
      <c r="G15" s="37"/>
      <c r="H15" s="58" t="str">
        <f t="shared" si="2"/>
        <v/>
      </c>
      <c r="I15" s="349" t="b">
        <f t="shared" si="3"/>
        <v>0</v>
      </c>
      <c r="J15" s="350">
        <f t="shared" si="4"/>
        <v>1</v>
      </c>
    </row>
    <row r="16" spans="1:11" x14ac:dyDescent="0.25">
      <c r="A16" s="37">
        <v>5</v>
      </c>
      <c r="B16" s="380"/>
      <c r="C16" s="380"/>
      <c r="D16" s="380"/>
      <c r="E16" s="402"/>
      <c r="F16" s="16" t="str">
        <f t="shared" si="1"/>
        <v/>
      </c>
      <c r="G16" s="37"/>
      <c r="H16" s="58" t="str">
        <f t="shared" si="2"/>
        <v/>
      </c>
      <c r="I16" s="349" t="b">
        <f t="shared" si="3"/>
        <v>0</v>
      </c>
      <c r="J16" s="350">
        <f t="shared" si="4"/>
        <v>1</v>
      </c>
    </row>
    <row r="17" spans="1:10" x14ac:dyDescent="0.25">
      <c r="A17" s="37">
        <v>6</v>
      </c>
      <c r="B17" s="380"/>
      <c r="C17" s="380"/>
      <c r="D17" s="380"/>
      <c r="E17" s="402"/>
      <c r="F17" s="16" t="str">
        <f t="shared" si="1"/>
        <v/>
      </c>
      <c r="G17" s="37"/>
      <c r="H17" s="58" t="str">
        <f t="shared" si="2"/>
        <v/>
      </c>
      <c r="I17" s="349" t="b">
        <f t="shared" si="3"/>
        <v>0</v>
      </c>
      <c r="J17" s="350">
        <f t="shared" si="4"/>
        <v>1</v>
      </c>
    </row>
    <row r="18" spans="1:10" x14ac:dyDescent="0.25">
      <c r="A18" s="37">
        <v>7</v>
      </c>
      <c r="B18" s="380"/>
      <c r="C18" s="380"/>
      <c r="D18" s="6"/>
      <c r="E18" s="216"/>
      <c r="F18" s="16" t="str">
        <f t="shared" si="1"/>
        <v/>
      </c>
      <c r="G18" s="37"/>
      <c r="H18" s="58" t="str">
        <f t="shared" si="2"/>
        <v/>
      </c>
      <c r="I18" s="349" t="b">
        <f t="shared" si="3"/>
        <v>0</v>
      </c>
      <c r="J18" s="350">
        <f t="shared" si="4"/>
        <v>1</v>
      </c>
    </row>
    <row r="19" spans="1:10" ht="15.6" x14ac:dyDescent="0.3">
      <c r="A19" s="37">
        <v>8</v>
      </c>
      <c r="B19" s="6"/>
      <c r="C19" s="6"/>
      <c r="D19" s="6"/>
      <c r="E19" s="216"/>
      <c r="F19" s="16" t="str">
        <f t="shared" si="1"/>
        <v/>
      </c>
      <c r="G19" s="37"/>
      <c r="H19" s="58" t="str">
        <f t="shared" si="2"/>
        <v/>
      </c>
      <c r="I19" s="349" t="b">
        <f t="shared" si="3"/>
        <v>0</v>
      </c>
      <c r="J19" s="350">
        <f t="shared" si="4"/>
        <v>1</v>
      </c>
    </row>
    <row r="20" spans="1:10" ht="15.6" x14ac:dyDescent="0.3">
      <c r="A20" s="37">
        <v>9</v>
      </c>
      <c r="B20" s="6"/>
      <c r="C20" s="6"/>
      <c r="D20" s="6"/>
      <c r="E20" s="216"/>
      <c r="F20" s="16" t="str">
        <f t="shared" si="1"/>
        <v/>
      </c>
      <c r="G20" s="37"/>
      <c r="H20" s="58" t="str">
        <f t="shared" si="2"/>
        <v/>
      </c>
      <c r="I20" s="349" t="b">
        <f t="shared" si="3"/>
        <v>0</v>
      </c>
      <c r="J20" s="350">
        <f t="shared" si="4"/>
        <v>1</v>
      </c>
    </row>
    <row r="21" spans="1:10" ht="15.6" x14ac:dyDescent="0.3">
      <c r="A21" s="37">
        <v>10</v>
      </c>
      <c r="B21" s="6"/>
      <c r="C21" s="6"/>
      <c r="D21" s="6"/>
      <c r="E21" s="216"/>
      <c r="F21" s="16" t="str">
        <f t="shared" si="1"/>
        <v/>
      </c>
      <c r="G21" s="37"/>
      <c r="H21" s="58" t="str">
        <f t="shared" si="2"/>
        <v/>
      </c>
      <c r="I21" s="349" t="b">
        <f t="shared" si="3"/>
        <v>0</v>
      </c>
      <c r="J21" s="350">
        <f t="shared" si="4"/>
        <v>1</v>
      </c>
    </row>
    <row r="22" spans="1:10" ht="15.6" x14ac:dyDescent="0.3">
      <c r="A22" s="37">
        <v>11</v>
      </c>
      <c r="B22" s="6"/>
      <c r="C22" s="6"/>
      <c r="D22" s="6"/>
      <c r="E22" s="216"/>
      <c r="F22" s="16" t="str">
        <f t="shared" si="1"/>
        <v/>
      </c>
      <c r="G22" s="37"/>
      <c r="H22" s="58" t="str">
        <f t="shared" si="2"/>
        <v/>
      </c>
      <c r="I22" s="349" t="b">
        <f t="shared" si="3"/>
        <v>0</v>
      </c>
      <c r="J22" s="350">
        <f t="shared" si="4"/>
        <v>1</v>
      </c>
    </row>
    <row r="23" spans="1:10" ht="15.6" x14ac:dyDescent="0.3">
      <c r="A23" s="37">
        <v>12</v>
      </c>
      <c r="B23" s="6"/>
      <c r="C23" s="6"/>
      <c r="D23" s="6"/>
      <c r="E23" s="216"/>
      <c r="F23" s="16" t="str">
        <f t="shared" si="1"/>
        <v/>
      </c>
      <c r="G23" s="37"/>
      <c r="H23" s="58" t="str">
        <f t="shared" si="2"/>
        <v/>
      </c>
      <c r="I23" s="349" t="b">
        <f t="shared" si="3"/>
        <v>0</v>
      </c>
      <c r="J23" s="350">
        <f t="shared" si="4"/>
        <v>1</v>
      </c>
    </row>
    <row r="24" spans="1:10" ht="15.6" x14ac:dyDescent="0.3">
      <c r="A24" s="37">
        <v>13</v>
      </c>
      <c r="B24" s="6"/>
      <c r="C24" s="6"/>
      <c r="D24" s="6"/>
      <c r="E24" s="216"/>
      <c r="F24" s="16" t="str">
        <f t="shared" si="1"/>
        <v/>
      </c>
      <c r="G24" s="37"/>
      <c r="H24" s="58" t="str">
        <f t="shared" si="2"/>
        <v/>
      </c>
      <c r="I24" s="349" t="b">
        <f t="shared" si="3"/>
        <v>0</v>
      </c>
      <c r="J24" s="350">
        <f t="shared" si="4"/>
        <v>1</v>
      </c>
    </row>
    <row r="25" spans="1:10" ht="15.6" x14ac:dyDescent="0.3">
      <c r="A25" s="37">
        <v>14</v>
      </c>
      <c r="B25" s="6"/>
      <c r="C25" s="6"/>
      <c r="D25" s="6"/>
      <c r="E25" s="216"/>
      <c r="F25" s="16" t="str">
        <f t="shared" si="1"/>
        <v/>
      </c>
      <c r="G25" s="37"/>
      <c r="H25" s="58" t="str">
        <f t="shared" si="2"/>
        <v/>
      </c>
      <c r="I25" s="349" t="b">
        <f t="shared" si="3"/>
        <v>0</v>
      </c>
      <c r="J25" s="350">
        <f t="shared" si="4"/>
        <v>1</v>
      </c>
    </row>
    <row r="26" spans="1:10" ht="15.6" x14ac:dyDescent="0.3">
      <c r="A26" s="37">
        <v>15</v>
      </c>
      <c r="B26" s="6"/>
      <c r="C26" s="6"/>
      <c r="D26" s="6"/>
      <c r="E26" s="216"/>
      <c r="F26" s="16" t="str">
        <f t="shared" si="1"/>
        <v/>
      </c>
      <c r="G26" s="37"/>
      <c r="H26" s="58" t="str">
        <f t="shared" si="2"/>
        <v/>
      </c>
      <c r="I26" s="349" t="b">
        <f t="shared" si="3"/>
        <v>0</v>
      </c>
      <c r="J26" s="350">
        <f t="shared" si="4"/>
        <v>1</v>
      </c>
    </row>
    <row r="27" spans="1:10" ht="15.6" x14ac:dyDescent="0.3">
      <c r="A27" s="37">
        <v>16</v>
      </c>
      <c r="B27" s="6"/>
      <c r="C27" s="6"/>
      <c r="D27" s="6"/>
      <c r="E27" s="216"/>
      <c r="F27" s="16" t="str">
        <f t="shared" si="1"/>
        <v/>
      </c>
      <c r="G27" s="37"/>
      <c r="H27" s="58" t="str">
        <f t="shared" si="2"/>
        <v/>
      </c>
      <c r="I27" s="349" t="b">
        <f t="shared" si="3"/>
        <v>0</v>
      </c>
      <c r="J27" s="350">
        <f t="shared" si="4"/>
        <v>1</v>
      </c>
    </row>
    <row r="28" spans="1:10" ht="15.6" x14ac:dyDescent="0.3">
      <c r="A28" s="37">
        <v>17</v>
      </c>
      <c r="B28" s="6"/>
      <c r="C28" s="6"/>
      <c r="D28" s="6"/>
      <c r="E28" s="216"/>
      <c r="F28" s="16" t="str">
        <f t="shared" si="1"/>
        <v/>
      </c>
      <c r="G28" s="37"/>
      <c r="H28" s="58" t="str">
        <f t="shared" si="2"/>
        <v/>
      </c>
      <c r="I28" s="349" t="b">
        <f t="shared" si="3"/>
        <v>0</v>
      </c>
      <c r="J28" s="350">
        <f t="shared" si="4"/>
        <v>1</v>
      </c>
    </row>
    <row r="29" spans="1:10" ht="15.6" x14ac:dyDescent="0.3">
      <c r="A29" s="37">
        <v>18</v>
      </c>
      <c r="B29" s="6"/>
      <c r="C29" s="6"/>
      <c r="D29" s="6"/>
      <c r="E29" s="216"/>
      <c r="F29" s="16" t="str">
        <f t="shared" si="1"/>
        <v/>
      </c>
      <c r="G29" s="37"/>
      <c r="H29" s="58" t="str">
        <f t="shared" si="2"/>
        <v/>
      </c>
      <c r="I29" s="349" t="b">
        <f t="shared" si="3"/>
        <v>0</v>
      </c>
      <c r="J29" s="350">
        <f t="shared" si="4"/>
        <v>1</v>
      </c>
    </row>
    <row r="30" spans="1:10" ht="15.6" x14ac:dyDescent="0.3">
      <c r="A30" s="37">
        <v>19</v>
      </c>
      <c r="B30" s="6"/>
      <c r="C30" s="6"/>
      <c r="D30" s="6"/>
      <c r="E30" s="216"/>
      <c r="F30" s="16" t="str">
        <f t="shared" si="1"/>
        <v/>
      </c>
      <c r="G30" s="37"/>
      <c r="H30" s="58" t="str">
        <f t="shared" si="2"/>
        <v/>
      </c>
      <c r="I30" s="349" t="b">
        <f t="shared" si="3"/>
        <v>0</v>
      </c>
      <c r="J30" s="350">
        <f t="shared" si="4"/>
        <v>1</v>
      </c>
    </row>
    <row r="31" spans="1:10" ht="15.6" x14ac:dyDescent="0.3">
      <c r="A31" s="37">
        <v>20</v>
      </c>
      <c r="B31" s="6"/>
      <c r="C31" s="6"/>
      <c r="D31" s="6"/>
      <c r="E31" s="216"/>
      <c r="F31" s="16" t="str">
        <f t="shared" si="1"/>
        <v/>
      </c>
      <c r="G31" s="37"/>
      <c r="H31" s="58" t="str">
        <f t="shared" si="2"/>
        <v/>
      </c>
      <c r="I31" s="349" t="b">
        <f t="shared" si="3"/>
        <v>0</v>
      </c>
      <c r="J31" s="350">
        <f t="shared" si="4"/>
        <v>1</v>
      </c>
    </row>
    <row r="32" spans="1:10" ht="15.6" x14ac:dyDescent="0.3">
      <c r="A32" s="37">
        <v>21</v>
      </c>
      <c r="B32" s="6"/>
      <c r="C32" s="6"/>
      <c r="D32" s="6"/>
      <c r="E32" s="216"/>
      <c r="F32" s="16" t="str">
        <f t="shared" si="1"/>
        <v/>
      </c>
      <c r="G32" s="37"/>
      <c r="H32" s="58" t="str">
        <f t="shared" si="2"/>
        <v/>
      </c>
      <c r="I32" s="349" t="b">
        <f t="shared" si="3"/>
        <v>0</v>
      </c>
      <c r="J32" s="350">
        <f t="shared" si="4"/>
        <v>1</v>
      </c>
    </row>
    <row r="33" spans="1:10" ht="15.6" x14ac:dyDescent="0.3">
      <c r="A33" s="37">
        <v>22</v>
      </c>
      <c r="B33" s="6"/>
      <c r="C33" s="6"/>
      <c r="D33" s="6"/>
      <c r="E33" s="216"/>
      <c r="F33" s="16" t="str">
        <f t="shared" si="1"/>
        <v/>
      </c>
      <c r="G33" s="37"/>
      <c r="H33" s="58" t="str">
        <f t="shared" si="2"/>
        <v/>
      </c>
      <c r="I33" s="349" t="b">
        <f t="shared" si="3"/>
        <v>0</v>
      </c>
      <c r="J33" s="350">
        <f t="shared" si="4"/>
        <v>1</v>
      </c>
    </row>
    <row r="34" spans="1:10" ht="15.6" x14ac:dyDescent="0.3">
      <c r="A34" s="37">
        <v>23</v>
      </c>
      <c r="B34" s="6"/>
      <c r="C34" s="6"/>
      <c r="D34" s="6"/>
      <c r="E34" s="216"/>
      <c r="F34" s="16" t="str">
        <f t="shared" si="1"/>
        <v/>
      </c>
      <c r="G34" s="37"/>
      <c r="H34" s="58" t="str">
        <f t="shared" si="2"/>
        <v/>
      </c>
      <c r="I34" s="349" t="b">
        <f t="shared" si="3"/>
        <v>0</v>
      </c>
      <c r="J34" s="350">
        <f t="shared" si="4"/>
        <v>1</v>
      </c>
    </row>
    <row r="35" spans="1:10" ht="15.6" x14ac:dyDescent="0.3">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ht="15.6" x14ac:dyDescent="0.2">
      <c r="A2" s="346" t="str">
        <f>IF(ISBLANK(facultate), IF(ISBLANK(departament),"","Departament " &amp; departament), "Facultatea " &amp; facultate)</f>
        <v>Facultatea Electronică și Telecomunicații</v>
      </c>
      <c r="D2" s="61"/>
      <c r="E2" s="63"/>
      <c r="F2" s="62"/>
      <c r="G2" s="289"/>
    </row>
    <row r="3" spans="1:8" s="60" customFormat="1" ht="15.6" x14ac:dyDescent="0.2">
      <c r="A3" s="346" t="str">
        <f>IF(ISBLANK(departament),"","Departamentul " &amp; departament)</f>
        <v>Departamentul Electronică Aplicată</v>
      </c>
      <c r="D3" s="61"/>
      <c r="E3" s="63"/>
      <c r="F3" s="62"/>
      <c r="G3" s="289"/>
    </row>
    <row r="4" spans="1:8" x14ac:dyDescent="0.25">
      <c r="A4" s="559" t="s">
        <v>784</v>
      </c>
      <c r="B4" s="559"/>
      <c r="C4" s="559"/>
      <c r="D4" s="559"/>
      <c r="E4" s="559"/>
      <c r="F4" s="226"/>
      <c r="G4" s="291"/>
    </row>
    <row r="5" spans="1:8" x14ac:dyDescent="0.25">
      <c r="A5" s="559" t="s">
        <v>834</v>
      </c>
      <c r="B5" s="559"/>
      <c r="C5" s="559"/>
      <c r="D5" s="559"/>
      <c r="E5" s="559"/>
      <c r="F5" s="226"/>
    </row>
    <row r="6" spans="1:8" ht="13.5" customHeight="1" x14ac:dyDescent="0.3">
      <c r="D6" s="64"/>
      <c r="E6" s="347" t="str">
        <f>CONCATENATE(functie," ",nume_candidat)</f>
        <v>Profesor Lascu Dan</v>
      </c>
    </row>
    <row r="7" spans="1:8" ht="18.75" customHeight="1" x14ac:dyDescent="0.25">
      <c r="A7" s="557" t="s">
        <v>338</v>
      </c>
      <c r="B7" s="567" t="s">
        <v>827</v>
      </c>
      <c r="C7" s="567" t="s">
        <v>824</v>
      </c>
      <c r="D7" s="567" t="s">
        <v>2</v>
      </c>
      <c r="E7" s="557" t="s">
        <v>544</v>
      </c>
      <c r="F7" s="557" t="s">
        <v>4</v>
      </c>
      <c r="G7" s="578" t="s">
        <v>541</v>
      </c>
      <c r="H7" s="564" t="s">
        <v>551</v>
      </c>
    </row>
    <row r="8" spans="1:8" ht="18.75" customHeight="1" x14ac:dyDescent="0.25">
      <c r="A8" s="574"/>
      <c r="B8" s="568"/>
      <c r="C8" s="568"/>
      <c r="D8" s="568"/>
      <c r="E8" s="574"/>
      <c r="F8" s="574"/>
      <c r="G8" s="579"/>
      <c r="H8" s="564"/>
    </row>
    <row r="9" spans="1:8" ht="18.75" customHeight="1" x14ac:dyDescent="0.25">
      <c r="A9" s="574"/>
      <c r="B9" s="568"/>
      <c r="C9" s="568"/>
      <c r="D9" s="568"/>
      <c r="E9" s="558"/>
      <c r="F9" s="558"/>
      <c r="G9" s="579"/>
      <c r="H9" s="564"/>
    </row>
    <row r="10" spans="1:8" ht="18.75" customHeight="1" x14ac:dyDescent="0.25">
      <c r="A10" s="558"/>
      <c r="B10" s="569"/>
      <c r="C10" s="569"/>
      <c r="D10" s="569"/>
      <c r="E10" s="348" t="str">
        <f>CONCATENATE("ultimii ",durata_evaluare," ani")</f>
        <v>ultimii 5 ani</v>
      </c>
      <c r="F10" s="348" t="str">
        <f>CONCATENATE("ultimii                                  ",durata_evaluare," ani")</f>
        <v>ultimii                                  5 ani</v>
      </c>
      <c r="G10" s="580"/>
      <c r="H10" s="564"/>
    </row>
    <row r="11" spans="1:8" ht="15.6" x14ac:dyDescent="0.3">
      <c r="A11" s="88"/>
      <c r="B11" s="65"/>
      <c r="C11" s="65"/>
      <c r="D11" s="30"/>
      <c r="E11" s="148">
        <f>SUMIF(E12:E1012,"&gt;0")</f>
        <v>0</v>
      </c>
      <c r="F11" s="4">
        <f t="shared" ref="F11" si="0">SUMIF(F12:F110,"&gt;0")</f>
        <v>0</v>
      </c>
      <c r="G11" s="298"/>
    </row>
    <row r="12" spans="1:8" x14ac:dyDescent="0.25">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25">
      <c r="A13" s="37">
        <v>2</v>
      </c>
      <c r="B13" s="7"/>
      <c r="C13" s="7"/>
      <c r="D13" s="220"/>
      <c r="E13" s="16" t="str">
        <f t="shared" si="1"/>
        <v/>
      </c>
      <c r="F13" s="58" t="str">
        <f t="shared" si="2"/>
        <v/>
      </c>
      <c r="G13" s="349" t="b">
        <f t="shared" si="3"/>
        <v>0</v>
      </c>
      <c r="H13" s="350">
        <f t="shared" si="4"/>
        <v>1</v>
      </c>
    </row>
    <row r="14" spans="1:8" x14ac:dyDescent="0.25">
      <c r="A14" s="37">
        <v>3</v>
      </c>
      <c r="B14" s="7"/>
      <c r="C14" s="7"/>
      <c r="D14" s="220"/>
      <c r="E14" s="16" t="str">
        <f t="shared" si="1"/>
        <v/>
      </c>
      <c r="F14" s="58" t="str">
        <f t="shared" si="2"/>
        <v/>
      </c>
      <c r="G14" s="349" t="b">
        <f t="shared" si="3"/>
        <v>0</v>
      </c>
      <c r="H14" s="350">
        <f t="shared" si="4"/>
        <v>1</v>
      </c>
    </row>
    <row r="15" spans="1:8" ht="15.6" x14ac:dyDescent="0.3">
      <c r="A15" s="37">
        <v>4</v>
      </c>
      <c r="B15" s="6"/>
      <c r="C15" s="6"/>
      <c r="D15" s="216"/>
      <c r="E15" s="16" t="str">
        <f t="shared" si="1"/>
        <v/>
      </c>
      <c r="F15" s="58" t="str">
        <f t="shared" si="2"/>
        <v/>
      </c>
      <c r="G15" s="349" t="b">
        <f t="shared" si="3"/>
        <v>0</v>
      </c>
      <c r="H15" s="350">
        <f t="shared" si="4"/>
        <v>1</v>
      </c>
    </row>
    <row r="16" spans="1:8" ht="15.6" x14ac:dyDescent="0.3">
      <c r="A16" s="37">
        <v>5</v>
      </c>
      <c r="B16" s="6"/>
      <c r="C16" s="6"/>
      <c r="D16" s="216"/>
      <c r="E16" s="16" t="str">
        <f t="shared" si="1"/>
        <v/>
      </c>
      <c r="F16" s="58" t="str">
        <f t="shared" si="2"/>
        <v/>
      </c>
      <c r="G16" s="349" t="b">
        <f t="shared" si="3"/>
        <v>0</v>
      </c>
      <c r="H16" s="350">
        <f t="shared" si="4"/>
        <v>1</v>
      </c>
    </row>
    <row r="17" spans="1:8" ht="15.6" x14ac:dyDescent="0.3">
      <c r="A17" s="37">
        <v>6</v>
      </c>
      <c r="B17" s="6"/>
      <c r="C17" s="6"/>
      <c r="D17" s="216"/>
      <c r="E17" s="16" t="str">
        <f t="shared" si="1"/>
        <v/>
      </c>
      <c r="F17" s="58" t="str">
        <f t="shared" si="2"/>
        <v/>
      </c>
      <c r="G17" s="349" t="b">
        <f t="shared" si="3"/>
        <v>0</v>
      </c>
      <c r="H17" s="350">
        <f t="shared" si="4"/>
        <v>1</v>
      </c>
    </row>
    <row r="18" spans="1:8" ht="15.6" x14ac:dyDescent="0.3">
      <c r="A18" s="37">
        <v>7</v>
      </c>
      <c r="B18" s="6"/>
      <c r="C18" s="6"/>
      <c r="D18" s="216"/>
      <c r="E18" s="16" t="str">
        <f t="shared" si="1"/>
        <v/>
      </c>
      <c r="F18" s="58" t="str">
        <f t="shared" si="2"/>
        <v/>
      </c>
      <c r="G18" s="349" t="b">
        <f t="shared" si="3"/>
        <v>0</v>
      </c>
      <c r="H18" s="350">
        <f t="shared" si="4"/>
        <v>1</v>
      </c>
    </row>
    <row r="19" spans="1:8" ht="15.6" x14ac:dyDescent="0.3">
      <c r="A19" s="37">
        <v>8</v>
      </c>
      <c r="B19" s="6"/>
      <c r="C19" s="6"/>
      <c r="D19" s="216"/>
      <c r="E19" s="16" t="str">
        <f t="shared" si="1"/>
        <v/>
      </c>
      <c r="F19" s="58" t="str">
        <f t="shared" si="2"/>
        <v/>
      </c>
      <c r="G19" s="349" t="b">
        <f t="shared" si="3"/>
        <v>0</v>
      </c>
      <c r="H19" s="350">
        <f t="shared" si="4"/>
        <v>1</v>
      </c>
    </row>
    <row r="20" spans="1:8" ht="15.6" x14ac:dyDescent="0.3">
      <c r="A20" s="37">
        <v>9</v>
      </c>
      <c r="B20" s="6"/>
      <c r="C20" s="6"/>
      <c r="D20" s="216"/>
      <c r="E20" s="16" t="str">
        <f t="shared" si="1"/>
        <v/>
      </c>
      <c r="F20" s="58" t="str">
        <f t="shared" si="2"/>
        <v/>
      </c>
      <c r="G20" s="349" t="b">
        <f t="shared" si="3"/>
        <v>0</v>
      </c>
      <c r="H20" s="350">
        <f t="shared" si="4"/>
        <v>1</v>
      </c>
    </row>
    <row r="21" spans="1:8" ht="15.6" x14ac:dyDescent="0.3">
      <c r="A21" s="37">
        <v>10</v>
      </c>
      <c r="B21" s="6"/>
      <c r="C21" s="6"/>
      <c r="D21" s="216"/>
      <c r="E21" s="16" t="str">
        <f t="shared" si="1"/>
        <v/>
      </c>
      <c r="F21" s="58" t="str">
        <f t="shared" si="2"/>
        <v/>
      </c>
      <c r="G21" s="349" t="b">
        <f t="shared" si="3"/>
        <v>0</v>
      </c>
      <c r="H21" s="350">
        <f t="shared" si="4"/>
        <v>1</v>
      </c>
    </row>
    <row r="22" spans="1:8" ht="15.6" x14ac:dyDescent="0.3">
      <c r="A22" s="37">
        <v>11</v>
      </c>
      <c r="B22" s="6"/>
      <c r="C22" s="6"/>
      <c r="D22" s="216"/>
      <c r="E22" s="16" t="str">
        <f t="shared" si="1"/>
        <v/>
      </c>
      <c r="F22" s="58" t="str">
        <f t="shared" si="2"/>
        <v/>
      </c>
      <c r="G22" s="349" t="b">
        <f t="shared" si="3"/>
        <v>0</v>
      </c>
      <c r="H22" s="350">
        <f t="shared" si="4"/>
        <v>1</v>
      </c>
    </row>
    <row r="23" spans="1:8" ht="15.6" x14ac:dyDescent="0.3">
      <c r="A23" s="37">
        <v>12</v>
      </c>
      <c r="B23" s="6"/>
      <c r="C23" s="6"/>
      <c r="D23" s="216"/>
      <c r="E23" s="16" t="str">
        <f t="shared" si="1"/>
        <v/>
      </c>
      <c r="F23" s="58" t="str">
        <f t="shared" si="2"/>
        <v/>
      </c>
      <c r="G23" s="349" t="b">
        <f t="shared" si="3"/>
        <v>0</v>
      </c>
      <c r="H23" s="350">
        <f t="shared" si="4"/>
        <v>1</v>
      </c>
    </row>
    <row r="24" spans="1:8" ht="15.6" x14ac:dyDescent="0.3">
      <c r="A24" s="37">
        <v>13</v>
      </c>
      <c r="B24" s="6"/>
      <c r="C24" s="6"/>
      <c r="D24" s="216"/>
      <c r="E24" s="16" t="str">
        <f t="shared" si="1"/>
        <v/>
      </c>
      <c r="F24" s="58" t="str">
        <f t="shared" si="2"/>
        <v/>
      </c>
      <c r="G24" s="349" t="b">
        <f t="shared" si="3"/>
        <v>0</v>
      </c>
      <c r="H24" s="350">
        <f t="shared" si="4"/>
        <v>1</v>
      </c>
    </row>
    <row r="25" spans="1:8" ht="15.6" x14ac:dyDescent="0.3">
      <c r="A25" s="37">
        <v>14</v>
      </c>
      <c r="B25" s="6"/>
      <c r="C25" s="6"/>
      <c r="D25" s="216"/>
      <c r="E25" s="16" t="str">
        <f t="shared" si="1"/>
        <v/>
      </c>
      <c r="F25" s="58" t="str">
        <f t="shared" si="2"/>
        <v/>
      </c>
      <c r="G25" s="349" t="b">
        <f t="shared" si="3"/>
        <v>0</v>
      </c>
      <c r="H25" s="350">
        <f t="shared" si="4"/>
        <v>1</v>
      </c>
    </row>
    <row r="26" spans="1:8" ht="15.6" x14ac:dyDescent="0.3">
      <c r="A26" s="37">
        <v>15</v>
      </c>
      <c r="B26" s="6"/>
      <c r="C26" s="6"/>
      <c r="D26" s="216"/>
      <c r="E26" s="16" t="str">
        <f t="shared" si="1"/>
        <v/>
      </c>
      <c r="F26" s="58" t="str">
        <f t="shared" si="2"/>
        <v/>
      </c>
      <c r="G26" s="349" t="b">
        <f t="shared" si="3"/>
        <v>0</v>
      </c>
      <c r="H26" s="350">
        <f t="shared" si="4"/>
        <v>1</v>
      </c>
    </row>
    <row r="27" spans="1:8" ht="15.6" x14ac:dyDescent="0.3">
      <c r="A27" s="37">
        <v>16</v>
      </c>
      <c r="B27" s="6"/>
      <c r="C27" s="6"/>
      <c r="D27" s="216"/>
      <c r="E27" s="16" t="str">
        <f t="shared" si="1"/>
        <v/>
      </c>
      <c r="F27" s="58" t="str">
        <f t="shared" si="2"/>
        <v/>
      </c>
      <c r="G27" s="349" t="b">
        <f t="shared" si="3"/>
        <v>0</v>
      </c>
      <c r="H27" s="350">
        <f t="shared" si="4"/>
        <v>1</v>
      </c>
    </row>
    <row r="28" spans="1:8" ht="15.6" x14ac:dyDescent="0.3">
      <c r="A28" s="37">
        <v>17</v>
      </c>
      <c r="B28" s="6"/>
      <c r="C28" s="6"/>
      <c r="D28" s="216"/>
      <c r="E28" s="16" t="str">
        <f t="shared" si="1"/>
        <v/>
      </c>
      <c r="F28" s="58" t="str">
        <f t="shared" si="2"/>
        <v/>
      </c>
      <c r="G28" s="349" t="b">
        <f t="shared" si="3"/>
        <v>0</v>
      </c>
      <c r="H28" s="350">
        <f t="shared" si="4"/>
        <v>1</v>
      </c>
    </row>
    <row r="29" spans="1:8" ht="15.6" x14ac:dyDescent="0.3">
      <c r="A29" s="37">
        <v>18</v>
      </c>
      <c r="B29" s="6"/>
      <c r="C29" s="6"/>
      <c r="D29" s="216"/>
      <c r="E29" s="16" t="str">
        <f t="shared" si="1"/>
        <v/>
      </c>
      <c r="F29" s="58" t="str">
        <f t="shared" si="2"/>
        <v/>
      </c>
      <c r="G29" s="349" t="b">
        <f t="shared" si="3"/>
        <v>0</v>
      </c>
      <c r="H29" s="350">
        <f t="shared" si="4"/>
        <v>1</v>
      </c>
    </row>
    <row r="30" spans="1:8" ht="15.6" x14ac:dyDescent="0.3">
      <c r="A30" s="37">
        <v>19</v>
      </c>
      <c r="B30" s="6"/>
      <c r="C30" s="6"/>
      <c r="D30" s="216"/>
      <c r="E30" s="16" t="str">
        <f t="shared" si="1"/>
        <v/>
      </c>
      <c r="F30" s="58" t="str">
        <f t="shared" si="2"/>
        <v/>
      </c>
      <c r="G30" s="349" t="b">
        <f t="shared" si="3"/>
        <v>0</v>
      </c>
      <c r="H30" s="350">
        <f t="shared" si="4"/>
        <v>1</v>
      </c>
    </row>
    <row r="31" spans="1:8" ht="15.6" x14ac:dyDescent="0.3">
      <c r="A31" s="37">
        <v>20</v>
      </c>
      <c r="B31" s="6"/>
      <c r="C31" s="6"/>
      <c r="D31" s="216"/>
      <c r="E31" s="16" t="str">
        <f t="shared" si="1"/>
        <v/>
      </c>
      <c r="F31" s="58" t="str">
        <f t="shared" si="2"/>
        <v/>
      </c>
      <c r="G31" s="349" t="b">
        <f t="shared" si="3"/>
        <v>0</v>
      </c>
      <c r="H31" s="350">
        <f t="shared" si="4"/>
        <v>1</v>
      </c>
    </row>
    <row r="32" spans="1:8" ht="15.6" x14ac:dyDescent="0.3">
      <c r="A32" s="37">
        <v>21</v>
      </c>
      <c r="B32" s="6"/>
      <c r="C32" s="6"/>
      <c r="D32" s="216"/>
      <c r="E32" s="16" t="str">
        <f t="shared" si="1"/>
        <v/>
      </c>
      <c r="F32" s="58" t="str">
        <f t="shared" si="2"/>
        <v/>
      </c>
      <c r="G32" s="349" t="b">
        <f t="shared" si="3"/>
        <v>0</v>
      </c>
      <c r="H32" s="350">
        <f t="shared" si="4"/>
        <v>1</v>
      </c>
    </row>
    <row r="33" spans="1:8" ht="15.6" x14ac:dyDescent="0.3">
      <c r="A33" s="37">
        <v>22</v>
      </c>
      <c r="B33" s="6"/>
      <c r="C33" s="6"/>
      <c r="D33" s="216"/>
      <c r="E33" s="16" t="str">
        <f t="shared" si="1"/>
        <v/>
      </c>
      <c r="F33" s="58" t="str">
        <f t="shared" si="2"/>
        <v/>
      </c>
      <c r="G33" s="349" t="b">
        <f t="shared" si="3"/>
        <v>0</v>
      </c>
      <c r="H33" s="350">
        <f t="shared" si="4"/>
        <v>1</v>
      </c>
    </row>
    <row r="34" spans="1:8" ht="15.6" x14ac:dyDescent="0.3">
      <c r="A34" s="37">
        <v>23</v>
      </c>
      <c r="B34" s="6"/>
      <c r="C34" s="6"/>
      <c r="D34" s="216"/>
      <c r="E34" s="16" t="str">
        <f t="shared" si="1"/>
        <v/>
      </c>
      <c r="F34" s="58" t="str">
        <f t="shared" si="2"/>
        <v/>
      </c>
      <c r="G34" s="349" t="b">
        <f t="shared" si="3"/>
        <v>0</v>
      </c>
      <c r="H34" s="350">
        <f t="shared" si="4"/>
        <v>1</v>
      </c>
    </row>
    <row r="35" spans="1:8" ht="15.6" x14ac:dyDescent="0.3">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K20" sqref="K20"/>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ht="15.6" x14ac:dyDescent="0.3">
      <c r="A2" s="346" t="str">
        <f>IF(ISBLANK(facultate), IF(ISBLANK(departament),"","Departament " &amp; departament), "Facultatea " &amp; facultate)</f>
        <v>Facultatea Electronică și Telecomunicații</v>
      </c>
      <c r="C2" s="61"/>
      <c r="D2" s="63"/>
      <c r="E2" s="50"/>
      <c r="F2" s="62"/>
      <c r="G2" s="289"/>
      <c r="I2"/>
    </row>
    <row r="3" spans="1:9" s="60" customFormat="1" ht="15.6" x14ac:dyDescent="0.3">
      <c r="A3" s="346" t="str">
        <f>IF(ISBLANK(departament),"","Departamentul " &amp; departament)</f>
        <v>Departamentul Electronică Aplicată</v>
      </c>
      <c r="C3" s="61"/>
      <c r="D3" s="63"/>
      <c r="E3" s="50"/>
      <c r="F3" s="62"/>
      <c r="G3" s="289"/>
      <c r="I3"/>
    </row>
    <row r="4" spans="1:9" x14ac:dyDescent="0.25">
      <c r="A4" s="559" t="s">
        <v>784</v>
      </c>
      <c r="B4" s="559"/>
      <c r="C4" s="559"/>
      <c r="D4" s="559"/>
      <c r="E4" s="423"/>
      <c r="F4" s="226"/>
      <c r="G4" s="291"/>
    </row>
    <row r="5" spans="1:9" x14ac:dyDescent="0.25">
      <c r="A5" s="559" t="s">
        <v>832</v>
      </c>
      <c r="B5" s="559"/>
      <c r="C5" s="559"/>
      <c r="D5" s="559"/>
      <c r="E5" s="423"/>
      <c r="F5" s="226"/>
    </row>
    <row r="6" spans="1:9" ht="13.5" customHeight="1" x14ac:dyDescent="0.3">
      <c r="C6" s="64"/>
      <c r="D6" s="347" t="str">
        <f>CONCATENATE(functie," ",nume_candidat)</f>
        <v>Profesor Lascu Dan</v>
      </c>
      <c r="E6" s="347" t="str">
        <f>CONCATENATE(functie," ",nume_candidat)</f>
        <v>Profesor Lascu Dan</v>
      </c>
    </row>
    <row r="7" spans="1:9" ht="18.75" customHeight="1" x14ac:dyDescent="0.25">
      <c r="A7" s="557" t="s">
        <v>338</v>
      </c>
      <c r="B7" s="557" t="s">
        <v>833</v>
      </c>
      <c r="C7" s="567" t="s">
        <v>2</v>
      </c>
      <c r="D7" s="557" t="s">
        <v>544</v>
      </c>
      <c r="E7" s="567" t="s">
        <v>1102</v>
      </c>
      <c r="F7" s="557" t="s">
        <v>4</v>
      </c>
      <c r="G7" s="578" t="s">
        <v>541</v>
      </c>
      <c r="H7" s="564" t="s">
        <v>551</v>
      </c>
    </row>
    <row r="8" spans="1:9" ht="18.75" customHeight="1" x14ac:dyDescent="0.25">
      <c r="A8" s="574"/>
      <c r="B8" s="574"/>
      <c r="C8" s="568"/>
      <c r="D8" s="574"/>
      <c r="E8" s="568"/>
      <c r="F8" s="574"/>
      <c r="G8" s="579"/>
      <c r="H8" s="564"/>
    </row>
    <row r="9" spans="1:9" ht="18.75" customHeight="1" x14ac:dyDescent="0.25">
      <c r="A9" s="574"/>
      <c r="B9" s="574"/>
      <c r="C9" s="568"/>
      <c r="D9" s="558"/>
      <c r="E9" s="568"/>
      <c r="F9" s="558"/>
      <c r="G9" s="579"/>
      <c r="H9" s="564"/>
    </row>
    <row r="10" spans="1:9" ht="18.75" customHeight="1" x14ac:dyDescent="0.25">
      <c r="A10" s="558"/>
      <c r="B10" s="558"/>
      <c r="C10" s="569"/>
      <c r="D10" s="348" t="str">
        <f>CONCATENATE("ultimii ",durata_evaluare," ani")</f>
        <v>ultimii 5 ani</v>
      </c>
      <c r="E10" s="569"/>
      <c r="F10" s="348" t="str">
        <f>CONCATENATE("ultimii                                  ",durata_evaluare," ani")</f>
        <v>ultimii                                  5 ani</v>
      </c>
      <c r="G10" s="580"/>
      <c r="H10" s="564"/>
    </row>
    <row r="11" spans="1:9" x14ac:dyDescent="0.25">
      <c r="A11" s="88"/>
      <c r="B11" s="65"/>
      <c r="C11" s="30"/>
      <c r="D11" s="148">
        <f>SUMIF(D12:D1012,"&gt;0")</f>
        <v>40</v>
      </c>
      <c r="E11" s="435"/>
      <c r="F11" s="4">
        <f t="shared" ref="F11" si="0">SUMIF(F12:F110,"&gt;0")</f>
        <v>2</v>
      </c>
      <c r="G11" s="298"/>
    </row>
    <row r="12" spans="1:9" ht="15.6" customHeight="1" x14ac:dyDescent="0.25">
      <c r="A12" s="37">
        <v>1</v>
      </c>
      <c r="B12" s="510" t="s">
        <v>1242</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ht="15.6" customHeight="1" x14ac:dyDescent="0.25">
      <c r="A13" s="37">
        <v>2</v>
      </c>
      <c r="B13" s="510" t="s">
        <v>1243</v>
      </c>
      <c r="C13" s="220">
        <v>2019</v>
      </c>
      <c r="D13" s="16">
        <f t="shared" si="1"/>
        <v>20</v>
      </c>
      <c r="E13" s="37"/>
      <c r="F13" s="58">
        <f t="shared" si="2"/>
        <v>1</v>
      </c>
      <c r="G13" s="349" t="b">
        <f t="shared" si="3"/>
        <v>0</v>
      </c>
      <c r="H13" s="350">
        <f t="shared" si="4"/>
        <v>1</v>
      </c>
    </row>
    <row r="14" spans="1:9" x14ac:dyDescent="0.25">
      <c r="A14" s="37">
        <v>3</v>
      </c>
      <c r="B14" s="7"/>
      <c r="C14" s="220"/>
      <c r="D14" s="16" t="str">
        <f t="shared" si="1"/>
        <v/>
      </c>
      <c r="E14" s="37"/>
      <c r="F14" s="58" t="str">
        <f t="shared" si="2"/>
        <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ht="15.6" x14ac:dyDescent="0.3">
      <c r="A16" s="37">
        <v>5</v>
      </c>
      <c r="B16" s="6"/>
      <c r="C16" s="216"/>
      <c r="D16" s="16" t="str">
        <f t="shared" si="1"/>
        <v/>
      </c>
      <c r="E16" s="37"/>
      <c r="F16" s="58" t="str">
        <f t="shared" si="2"/>
        <v/>
      </c>
      <c r="G16" s="349" t="b">
        <f t="shared" si="3"/>
        <v>0</v>
      </c>
      <c r="H16" s="350">
        <f t="shared" si="4"/>
        <v>1</v>
      </c>
    </row>
    <row r="17" spans="1:8" ht="15.6" x14ac:dyDescent="0.3">
      <c r="A17" s="37">
        <v>6</v>
      </c>
      <c r="B17" s="6"/>
      <c r="C17" s="216"/>
      <c r="D17" s="16" t="str">
        <f t="shared" si="1"/>
        <v/>
      </c>
      <c r="E17" s="37"/>
      <c r="F17" s="58" t="str">
        <f t="shared" si="2"/>
        <v/>
      </c>
      <c r="G17" s="349" t="b">
        <f t="shared" si="3"/>
        <v>0</v>
      </c>
      <c r="H17" s="350">
        <f t="shared" si="4"/>
        <v>1</v>
      </c>
    </row>
    <row r="18" spans="1:8" ht="15.6" x14ac:dyDescent="0.3">
      <c r="A18" s="37">
        <v>7</v>
      </c>
      <c r="B18" s="6"/>
      <c r="C18" s="216"/>
      <c r="D18" s="16" t="str">
        <f t="shared" si="1"/>
        <v/>
      </c>
      <c r="E18" s="37"/>
      <c r="F18" s="58" t="str">
        <f t="shared" si="2"/>
        <v/>
      </c>
      <c r="G18" s="349" t="b">
        <f t="shared" si="3"/>
        <v>0</v>
      </c>
      <c r="H18" s="350">
        <f t="shared" si="4"/>
        <v>1</v>
      </c>
    </row>
    <row r="19" spans="1:8" ht="15.6" x14ac:dyDescent="0.3">
      <c r="A19" s="37">
        <v>8</v>
      </c>
      <c r="B19" s="6"/>
      <c r="C19" s="216"/>
      <c r="D19" s="16" t="str">
        <f t="shared" si="1"/>
        <v/>
      </c>
      <c r="E19" s="37"/>
      <c r="F19" s="58" t="str">
        <f t="shared" si="2"/>
        <v/>
      </c>
      <c r="G19" s="349" t="b">
        <f t="shared" si="3"/>
        <v>0</v>
      </c>
      <c r="H19" s="350">
        <f t="shared" si="4"/>
        <v>1</v>
      </c>
    </row>
    <row r="20" spans="1:8" ht="15.6" x14ac:dyDescent="0.3">
      <c r="A20" s="37">
        <v>9</v>
      </c>
      <c r="B20" s="6"/>
      <c r="C20" s="216"/>
      <c r="D20" s="16" t="str">
        <f t="shared" si="1"/>
        <v/>
      </c>
      <c r="E20" s="37"/>
      <c r="F20" s="58" t="str">
        <f t="shared" si="2"/>
        <v/>
      </c>
      <c r="G20" s="349" t="b">
        <f t="shared" si="3"/>
        <v>0</v>
      </c>
      <c r="H20" s="350">
        <f t="shared" si="4"/>
        <v>1</v>
      </c>
    </row>
    <row r="21" spans="1:8" ht="15.6" x14ac:dyDescent="0.3">
      <c r="A21" s="37">
        <v>10</v>
      </c>
      <c r="B21" s="6"/>
      <c r="C21" s="216"/>
      <c r="D21" s="16" t="str">
        <f t="shared" si="1"/>
        <v/>
      </c>
      <c r="E21" s="37"/>
      <c r="F21" s="58" t="str">
        <f t="shared" si="2"/>
        <v/>
      </c>
      <c r="G21" s="349" t="b">
        <f t="shared" si="3"/>
        <v>0</v>
      </c>
      <c r="H21" s="350">
        <f t="shared" si="4"/>
        <v>1</v>
      </c>
    </row>
    <row r="22" spans="1:8" ht="15.6" x14ac:dyDescent="0.3">
      <c r="A22" s="37">
        <v>11</v>
      </c>
      <c r="B22" s="6"/>
      <c r="C22" s="216"/>
      <c r="D22" s="16" t="str">
        <f t="shared" si="1"/>
        <v/>
      </c>
      <c r="E22" s="37"/>
      <c r="F22" s="58" t="str">
        <f t="shared" si="2"/>
        <v/>
      </c>
      <c r="G22" s="349" t="b">
        <f t="shared" si="3"/>
        <v>0</v>
      </c>
      <c r="H22" s="350">
        <f t="shared" si="4"/>
        <v>1</v>
      </c>
    </row>
    <row r="23" spans="1:8" ht="15.6" x14ac:dyDescent="0.3">
      <c r="A23" s="37">
        <v>12</v>
      </c>
      <c r="B23" s="6"/>
      <c r="C23" s="216"/>
      <c r="D23" s="16" t="str">
        <f t="shared" si="1"/>
        <v/>
      </c>
      <c r="E23" s="37"/>
      <c r="F23" s="58" t="str">
        <f t="shared" si="2"/>
        <v/>
      </c>
      <c r="G23" s="349" t="b">
        <f t="shared" si="3"/>
        <v>0</v>
      </c>
      <c r="H23" s="350">
        <f t="shared" si="4"/>
        <v>1</v>
      </c>
    </row>
    <row r="24" spans="1:8" ht="15.6" x14ac:dyDescent="0.3">
      <c r="A24" s="37">
        <v>13</v>
      </c>
      <c r="B24" s="6"/>
      <c r="C24" s="216"/>
      <c r="D24" s="16" t="str">
        <f t="shared" si="1"/>
        <v/>
      </c>
      <c r="E24" s="37"/>
      <c r="F24" s="58" t="str">
        <f t="shared" si="2"/>
        <v/>
      </c>
      <c r="G24" s="349" t="b">
        <f t="shared" si="3"/>
        <v>0</v>
      </c>
      <c r="H24" s="350">
        <f t="shared" si="4"/>
        <v>1</v>
      </c>
    </row>
    <row r="25" spans="1:8" ht="15.6" x14ac:dyDescent="0.3">
      <c r="A25" s="37">
        <v>14</v>
      </c>
      <c r="B25" s="6"/>
      <c r="C25" s="216"/>
      <c r="D25" s="16" t="str">
        <f t="shared" si="1"/>
        <v/>
      </c>
      <c r="E25" s="37"/>
      <c r="F25" s="58" t="str">
        <f t="shared" si="2"/>
        <v/>
      </c>
      <c r="G25" s="349" t="b">
        <f t="shared" si="3"/>
        <v>0</v>
      </c>
      <c r="H25" s="350">
        <f t="shared" si="4"/>
        <v>1</v>
      </c>
    </row>
    <row r="26" spans="1:8" ht="15.6" x14ac:dyDescent="0.3">
      <c r="A26" s="37">
        <v>15</v>
      </c>
      <c r="B26" s="6"/>
      <c r="C26" s="216"/>
      <c r="D26" s="16" t="str">
        <f t="shared" si="1"/>
        <v/>
      </c>
      <c r="E26" s="37"/>
      <c r="F26" s="58" t="str">
        <f t="shared" si="2"/>
        <v/>
      </c>
      <c r="G26" s="349" t="b">
        <f t="shared" si="3"/>
        <v>0</v>
      </c>
      <c r="H26" s="350">
        <f t="shared" si="4"/>
        <v>1</v>
      </c>
    </row>
    <row r="27" spans="1:8" ht="15.6" x14ac:dyDescent="0.3">
      <c r="A27" s="37">
        <v>16</v>
      </c>
      <c r="B27" s="6"/>
      <c r="C27" s="216"/>
      <c r="D27" s="16" t="str">
        <f t="shared" si="1"/>
        <v/>
      </c>
      <c r="E27" s="37"/>
      <c r="F27" s="58" t="str">
        <f t="shared" si="2"/>
        <v/>
      </c>
      <c r="G27" s="349" t="b">
        <f t="shared" si="3"/>
        <v>0</v>
      </c>
      <c r="H27" s="350">
        <f t="shared" si="4"/>
        <v>1</v>
      </c>
    </row>
    <row r="28" spans="1:8" ht="15.6" x14ac:dyDescent="0.3">
      <c r="A28" s="37">
        <v>17</v>
      </c>
      <c r="B28" s="6"/>
      <c r="C28" s="216"/>
      <c r="D28" s="16" t="str">
        <f t="shared" si="1"/>
        <v/>
      </c>
      <c r="E28" s="37"/>
      <c r="F28" s="58" t="str">
        <f t="shared" si="2"/>
        <v/>
      </c>
      <c r="G28" s="349" t="b">
        <f t="shared" si="3"/>
        <v>0</v>
      </c>
      <c r="H28" s="350">
        <f t="shared" si="4"/>
        <v>1</v>
      </c>
    </row>
    <row r="29" spans="1:8" ht="15.6" x14ac:dyDescent="0.3">
      <c r="A29" s="37">
        <v>18</v>
      </c>
      <c r="B29" s="6"/>
      <c r="C29" s="216"/>
      <c r="D29" s="16" t="str">
        <f t="shared" si="1"/>
        <v/>
      </c>
      <c r="E29" s="37"/>
      <c r="F29" s="58" t="str">
        <f t="shared" si="2"/>
        <v/>
      </c>
      <c r="G29" s="349" t="b">
        <f t="shared" si="3"/>
        <v>0</v>
      </c>
      <c r="H29" s="350">
        <f t="shared" si="4"/>
        <v>1</v>
      </c>
    </row>
    <row r="30" spans="1:8" ht="15.6" x14ac:dyDescent="0.3">
      <c r="A30" s="37">
        <v>19</v>
      </c>
      <c r="B30" s="6"/>
      <c r="C30" s="216"/>
      <c r="D30" s="16" t="str">
        <f t="shared" si="1"/>
        <v/>
      </c>
      <c r="E30" s="37"/>
      <c r="F30" s="58" t="str">
        <f t="shared" si="2"/>
        <v/>
      </c>
      <c r="G30" s="349" t="b">
        <f t="shared" si="3"/>
        <v>0</v>
      </c>
      <c r="H30" s="350">
        <f t="shared" si="4"/>
        <v>1</v>
      </c>
    </row>
    <row r="31" spans="1:8" ht="15.6" x14ac:dyDescent="0.3">
      <c r="A31" s="37">
        <v>20</v>
      </c>
      <c r="B31" s="6"/>
      <c r="C31" s="216"/>
      <c r="D31" s="16" t="str">
        <f t="shared" si="1"/>
        <v/>
      </c>
      <c r="E31" s="37"/>
      <c r="F31" s="58" t="str">
        <f t="shared" si="2"/>
        <v/>
      </c>
      <c r="G31" s="349" t="b">
        <f t="shared" si="3"/>
        <v>0</v>
      </c>
      <c r="H31" s="350">
        <f t="shared" si="4"/>
        <v>1</v>
      </c>
    </row>
    <row r="32" spans="1:8" ht="15.6" x14ac:dyDescent="0.3">
      <c r="A32" s="37">
        <v>21</v>
      </c>
      <c r="B32" s="6"/>
      <c r="C32" s="216"/>
      <c r="D32" s="16" t="str">
        <f t="shared" si="1"/>
        <v/>
      </c>
      <c r="E32" s="37"/>
      <c r="F32" s="58" t="str">
        <f t="shared" si="2"/>
        <v/>
      </c>
      <c r="G32" s="349" t="b">
        <f t="shared" si="3"/>
        <v>0</v>
      </c>
      <c r="H32" s="350">
        <f t="shared" si="4"/>
        <v>1</v>
      </c>
    </row>
    <row r="33" spans="1:8" ht="15.6" x14ac:dyDescent="0.3">
      <c r="A33" s="37">
        <v>22</v>
      </c>
      <c r="B33" s="6"/>
      <c r="C33" s="216"/>
      <c r="D33" s="16" t="str">
        <f t="shared" si="1"/>
        <v/>
      </c>
      <c r="E33" s="37"/>
      <c r="F33" s="58" t="str">
        <f t="shared" si="2"/>
        <v/>
      </c>
      <c r="G33" s="349" t="b">
        <f t="shared" si="3"/>
        <v>0</v>
      </c>
      <c r="H33" s="350">
        <f t="shared" si="4"/>
        <v>1</v>
      </c>
    </row>
    <row r="34" spans="1:8" ht="15.6" x14ac:dyDescent="0.3">
      <c r="A34" s="37">
        <v>23</v>
      </c>
      <c r="B34" s="6"/>
      <c r="C34" s="216"/>
      <c r="D34" s="16" t="str">
        <f t="shared" si="1"/>
        <v/>
      </c>
      <c r="E34" s="37"/>
      <c r="F34" s="58" t="str">
        <f t="shared" si="2"/>
        <v/>
      </c>
      <c r="G34" s="349" t="b">
        <f t="shared" si="3"/>
        <v>0</v>
      </c>
      <c r="H34" s="350">
        <f t="shared" si="4"/>
        <v>1</v>
      </c>
    </row>
    <row r="35" spans="1:8" ht="15.6" x14ac:dyDescent="0.3">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B18" sqref="B18"/>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ht="15.6" x14ac:dyDescent="0.2">
      <c r="A2" s="346" t="str">
        <f>IF(ISBLANK(facultate), IF(ISBLANK(departament),"","Departament " &amp; departament), "Facultatea " &amp; facultate)</f>
        <v>Facultatea Electronică și Telecomunicații</v>
      </c>
      <c r="D2" s="393"/>
      <c r="F2" s="61"/>
      <c r="G2" s="63"/>
      <c r="H2" s="62"/>
      <c r="I2" s="289"/>
    </row>
    <row r="3" spans="1:10" s="60" customFormat="1" ht="15.6" x14ac:dyDescent="0.2">
      <c r="A3" s="346" t="str">
        <f>IF(ISBLANK(departament),"","Departamentul " &amp; departament)</f>
        <v>Departamentul Electronică Aplicată</v>
      </c>
      <c r="D3" s="393"/>
      <c r="F3" s="61"/>
      <c r="G3" s="63"/>
      <c r="H3" s="62"/>
      <c r="I3" s="289"/>
    </row>
    <row r="4" spans="1:10" x14ac:dyDescent="0.25">
      <c r="A4" s="559" t="s">
        <v>905</v>
      </c>
      <c r="B4" s="559"/>
      <c r="C4" s="559"/>
      <c r="D4" s="559"/>
      <c r="E4" s="559"/>
      <c r="F4" s="559"/>
      <c r="G4" s="559"/>
      <c r="H4" s="226"/>
      <c r="I4" s="291"/>
    </row>
    <row r="5" spans="1:10" x14ac:dyDescent="0.25">
      <c r="A5" s="565" t="s">
        <v>1025</v>
      </c>
      <c r="B5" s="559"/>
      <c r="C5" s="559"/>
      <c r="D5" s="559"/>
      <c r="E5" s="559"/>
      <c r="F5" s="559"/>
      <c r="G5" s="559"/>
      <c r="H5" s="226"/>
    </row>
    <row r="6" spans="1:10" ht="13.5" customHeight="1" x14ac:dyDescent="0.3">
      <c r="G6" s="347" t="str">
        <f>CONCATENATE(functie," ",nume_candidat)</f>
        <v>Profesor Lascu Dan</v>
      </c>
    </row>
    <row r="7" spans="1:10" s="33" customFormat="1" ht="15.75" customHeight="1" x14ac:dyDescent="0.2">
      <c r="A7" s="556" t="s">
        <v>338</v>
      </c>
      <c r="B7" s="556" t="s">
        <v>0</v>
      </c>
      <c r="C7" s="556" t="s">
        <v>1</v>
      </c>
      <c r="D7" s="556" t="s">
        <v>1026</v>
      </c>
      <c r="E7" s="556" t="s">
        <v>906</v>
      </c>
      <c r="F7" s="556" t="s">
        <v>2</v>
      </c>
      <c r="G7" s="557" t="s">
        <v>544</v>
      </c>
      <c r="H7" s="217" t="s">
        <v>4</v>
      </c>
      <c r="I7" s="563" t="s">
        <v>541</v>
      </c>
      <c r="J7" s="566" t="s">
        <v>551</v>
      </c>
    </row>
    <row r="8" spans="1:10" s="33" customFormat="1" ht="31.5" x14ac:dyDescent="0.2">
      <c r="A8" s="556"/>
      <c r="B8" s="556"/>
      <c r="C8" s="556"/>
      <c r="D8" s="556"/>
      <c r="E8" s="556"/>
      <c r="F8" s="556"/>
      <c r="G8" s="558"/>
      <c r="H8" s="348" t="str">
        <f>CONCATENATE("ultimii                                  ",durata_evaluare," ani")</f>
        <v>ultimii                                  5 ani</v>
      </c>
      <c r="I8" s="563"/>
      <c r="J8" s="566"/>
    </row>
    <row r="9" spans="1:10" s="33" customFormat="1" x14ac:dyDescent="0.2">
      <c r="A9" s="88"/>
      <c r="B9" s="65"/>
      <c r="C9" s="65"/>
      <c r="D9" s="65"/>
      <c r="E9" s="65"/>
      <c r="F9" s="162"/>
      <c r="G9" s="148">
        <f>SUMIF(G10:G1010,"&gt;0")</f>
        <v>1275</v>
      </c>
      <c r="H9" s="4">
        <f>SUMIF(H10:H1259,"&gt;0")</f>
        <v>3</v>
      </c>
      <c r="I9" s="298"/>
      <c r="J9" s="304"/>
    </row>
    <row r="10" spans="1:10" s="79" customFormat="1" ht="78.75" x14ac:dyDescent="0.25">
      <c r="A10" s="37">
        <v>1</v>
      </c>
      <c r="B10" s="511" t="s">
        <v>1244</v>
      </c>
      <c r="C10" s="512" t="s">
        <v>1245</v>
      </c>
      <c r="D10" s="512" t="s">
        <v>1246</v>
      </c>
      <c r="E10" s="13" t="s">
        <v>908</v>
      </c>
      <c r="F10" s="220">
        <v>2018</v>
      </c>
      <c r="G10" s="16">
        <f>IF(OR($B10="",$C10="",$D10="",$F10&lt;an_initial,$F10&gt;an_final,$I10=FALSE),"",(HLOOKUP(E10,ii11punctaje,2,FALSE))*VLOOKUP(J10,Coef!$E$2:$F$17,2,FALSE))</f>
        <v>450</v>
      </c>
      <c r="H10" s="58">
        <f t="shared" ref="H10:H73" si="0">IF(OR($B10="",$C10="",$D10="",$F10&gt;an_final,$I10=FALSE),"",IF($F10&gt;=an_initial,1,""))</f>
        <v>1</v>
      </c>
      <c r="I10" s="349" t="b">
        <f t="shared" ref="I10:I73" si="1">IF(nume_candidat="",FALSE,ISNUMBER(SEARCH(nume_candidat,$B10)))</f>
        <v>1</v>
      </c>
      <c r="J10" s="357">
        <f t="shared" ref="J10:J41" si="2">LEN(B10)-LEN(SUBSTITUTE(B10,",",""))+1</f>
        <v>5</v>
      </c>
    </row>
    <row r="11" spans="1:10" s="33" customFormat="1" ht="78.75" x14ac:dyDescent="0.2">
      <c r="A11" s="37">
        <v>2</v>
      </c>
      <c r="B11" s="513" t="s">
        <v>1247</v>
      </c>
      <c r="C11" s="513" t="s">
        <v>1248</v>
      </c>
      <c r="D11" s="513" t="s">
        <v>1249</v>
      </c>
      <c r="E11" s="7" t="s">
        <v>908</v>
      </c>
      <c r="F11" s="220">
        <v>2016</v>
      </c>
      <c r="G11" s="16">
        <f>IF(OR($B11="",$C11="",$D11="",$F11&lt;an_initial,$F11&gt;an_final,$I11=FALSE),"",(HLOOKUP(E11,ii11punctaje,2,FALSE))*VLOOKUP(J11,Coef!$E$2:$F$17,2,FALSE))</f>
        <v>450</v>
      </c>
      <c r="H11" s="58">
        <f>IF(OR($B11="",$C11="",$D11="",$F11&gt;an_final,$I11=FALSE),"",IF($F11&gt;=an_initial,1,""))</f>
        <v>1</v>
      </c>
      <c r="I11" s="349" t="b">
        <f t="shared" si="1"/>
        <v>1</v>
      </c>
      <c r="J11" s="357">
        <f t="shared" si="2"/>
        <v>5</v>
      </c>
    </row>
    <row r="12" spans="1:10" s="33" customFormat="1" ht="78.75" x14ac:dyDescent="0.2">
      <c r="A12" s="37">
        <v>3</v>
      </c>
      <c r="B12" s="514" t="s">
        <v>1250</v>
      </c>
      <c r="C12" s="514" t="s">
        <v>1251</v>
      </c>
      <c r="D12" s="515" t="s">
        <v>1252</v>
      </c>
      <c r="E12" s="196" t="s">
        <v>908</v>
      </c>
      <c r="F12" s="220">
        <v>2015</v>
      </c>
      <c r="G12" s="16">
        <f>IF(OR($B12="",$C12="",$D12="",$F12&lt;an_initial,$F12&gt;an_final,$I12=FALSE),"",(HLOOKUP(E12,ii11punctaje,2,FALSE))*VLOOKUP(J12,Coef!$E$2:$F$17,2,FALSE))</f>
        <v>375</v>
      </c>
      <c r="H12" s="58">
        <f>IF(OR($B12="",$C12="",$D12="",$F12&gt;an_final,$I12=FALSE),"",IF($F12&gt;=an_initial,1,""))</f>
        <v>1</v>
      </c>
      <c r="I12" s="349" t="b">
        <f t="shared" si="1"/>
        <v>1</v>
      </c>
      <c r="J12" s="357">
        <f t="shared" si="2"/>
        <v>6</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ht="15.6" x14ac:dyDescent="0.3">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ht="15.6" x14ac:dyDescent="0.3">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ht="15.6" x14ac:dyDescent="0.3">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ht="15.6" x14ac:dyDescent="0.3">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ht="15.6" x14ac:dyDescent="0.3">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ht="15.6" x14ac:dyDescent="0.3">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C17" sqref="C17"/>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ht="15.6" x14ac:dyDescent="0.2">
      <c r="A2" s="346" t="str">
        <f>IF(ISBLANK(facultate), IF(ISBLANK(departament),"","Departament " &amp; departament), "Facultatea " &amp; facultate)</f>
        <v>Facultatea Electronică și Telecomunicații</v>
      </c>
      <c r="F2" s="61"/>
      <c r="G2" s="63"/>
      <c r="H2" s="62"/>
      <c r="I2" s="289"/>
    </row>
    <row r="3" spans="1:10" s="60" customFormat="1" ht="15.6" x14ac:dyDescent="0.2">
      <c r="A3" s="346" t="str">
        <f>IF(ISBLANK(departament),"","Departamentul " &amp; departament)</f>
        <v>Departamentul Electronică Aplicată</v>
      </c>
      <c r="F3" s="61"/>
      <c r="G3" s="63"/>
      <c r="H3" s="62"/>
      <c r="I3" s="289"/>
    </row>
    <row r="4" spans="1:10" x14ac:dyDescent="0.25">
      <c r="A4" s="559" t="s">
        <v>905</v>
      </c>
      <c r="B4" s="559"/>
      <c r="C4" s="559"/>
      <c r="D4" s="559"/>
      <c r="E4" s="559"/>
      <c r="F4" s="559"/>
      <c r="G4" s="559"/>
      <c r="H4" s="226"/>
      <c r="I4" s="291"/>
    </row>
    <row r="5" spans="1:10" x14ac:dyDescent="0.25">
      <c r="A5" s="565" t="s">
        <v>1020</v>
      </c>
      <c r="B5" s="559"/>
      <c r="C5" s="559"/>
      <c r="D5" s="559"/>
      <c r="E5" s="559"/>
      <c r="F5" s="559"/>
      <c r="G5" s="559"/>
      <c r="H5" s="226"/>
    </row>
    <row r="6" spans="1:10" ht="13.5" customHeight="1" x14ac:dyDescent="0.3">
      <c r="G6" s="347" t="str">
        <f>CONCATENATE(functie," ",nume_candidat)</f>
        <v>Profesor Lascu Dan</v>
      </c>
    </row>
    <row r="7" spans="1:10" s="33" customFormat="1" ht="15.75" customHeight="1" x14ac:dyDescent="0.2">
      <c r="A7" s="556" t="s">
        <v>338</v>
      </c>
      <c r="B7" s="556" t="s">
        <v>0</v>
      </c>
      <c r="C7" s="556" t="s">
        <v>1</v>
      </c>
      <c r="D7" s="556" t="s">
        <v>1026</v>
      </c>
      <c r="E7" s="556" t="s">
        <v>1028</v>
      </c>
      <c r="F7" s="556" t="s">
        <v>2</v>
      </c>
      <c r="G7" s="557" t="s">
        <v>544</v>
      </c>
      <c r="H7" s="217" t="s">
        <v>4</v>
      </c>
      <c r="I7" s="563" t="s">
        <v>541</v>
      </c>
      <c r="J7" s="566" t="s">
        <v>551</v>
      </c>
    </row>
    <row r="8" spans="1:10" s="33" customFormat="1" ht="31.5" x14ac:dyDescent="0.2">
      <c r="A8" s="556"/>
      <c r="B8" s="556"/>
      <c r="C8" s="556"/>
      <c r="D8" s="556"/>
      <c r="E8" s="556"/>
      <c r="F8" s="556"/>
      <c r="G8" s="558"/>
      <c r="H8" s="348" t="str">
        <f>CONCATENATE("ultimii                                  ",durata_evaluare," ani")</f>
        <v>ultimii                                  5 ani</v>
      </c>
      <c r="I8" s="563"/>
      <c r="J8" s="566"/>
    </row>
    <row r="9" spans="1:10" s="33" customFormat="1" x14ac:dyDescent="0.2">
      <c r="A9" s="88"/>
      <c r="B9" s="65"/>
      <c r="C9" s="65"/>
      <c r="D9" s="65"/>
      <c r="E9" s="65"/>
      <c r="F9" s="162"/>
      <c r="G9" s="148">
        <f>SUMIF(G10:G1010,"&gt;0")</f>
        <v>48</v>
      </c>
      <c r="H9" s="4">
        <f>SUMIF(H10:H1259,"&gt;0")</f>
        <v>1</v>
      </c>
      <c r="I9" s="298"/>
      <c r="J9" s="304"/>
    </row>
    <row r="10" spans="1:10" s="79" customFormat="1" ht="78.75" x14ac:dyDescent="0.25">
      <c r="A10" s="37">
        <v>1</v>
      </c>
      <c r="B10" s="516" t="s">
        <v>1253</v>
      </c>
      <c r="C10" s="516" t="s">
        <v>1254</v>
      </c>
      <c r="D10" s="516" t="s">
        <v>1255</v>
      </c>
      <c r="E10" s="13" t="s">
        <v>93</v>
      </c>
      <c r="F10" s="220">
        <v>2015</v>
      </c>
      <c r="G10" s="16">
        <f>IF(OR($B10="",$C10="",$E10="",$F10&lt;an_initial,$F10&gt;an_final,$I10=FALSE),"",80*VLOOKUP(J10,Coef!$E$2:$F$17,2,FALSE))</f>
        <v>48</v>
      </c>
      <c r="H10" s="58">
        <f t="shared" ref="H10:H73" si="0">IF(OR($B10="",$C10="",$E10="",$F10&gt;an_final,$I10=FALSE),"",IF($F10&gt;=an_initial,1,""))</f>
        <v>1</v>
      </c>
      <c r="I10" s="349" t="b">
        <f t="shared" ref="I10:I73" si="1">IF(nume_candidat="",FALSE,ISNUMBER(SEARCH(nume_candidat,$B10)))</f>
        <v>1</v>
      </c>
      <c r="J10" s="357">
        <f t="shared" ref="J10:J41" si="2">LEN(B10)-LEN(SUBSTITUTE(B10,",",""))+1</f>
        <v>5</v>
      </c>
    </row>
    <row r="11" spans="1:10" s="33" customFormat="1" x14ac:dyDescent="0.2">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ht="15.6" x14ac:dyDescent="0.3">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ht="15.6" x14ac:dyDescent="0.3">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ht="15.6" x14ac:dyDescent="0.3">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ht="15.6" x14ac:dyDescent="0.3">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ht="15.6" x14ac:dyDescent="0.3">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ht="15.6" x14ac:dyDescent="0.3">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ht="15.6" x14ac:dyDescent="0.3">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ht="15.6" x14ac:dyDescent="0.3">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ht="15.6" x14ac:dyDescent="0.3">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ht="15.6" x14ac:dyDescent="0.3">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ht="15.6" x14ac:dyDescent="0.3">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ht="15.6" x14ac:dyDescent="0.3">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ht="15.6" x14ac:dyDescent="0.3">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ht="15.6" x14ac:dyDescent="0.3">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ht="15.6" x14ac:dyDescent="0.3">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ht="15.6" x14ac:dyDescent="0.3">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ht="15.6" x14ac:dyDescent="0.3">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1024</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2015</v>
      </c>
      <c r="F10" t="s">
        <v>508</v>
      </c>
      <c r="J10" t="s">
        <v>519</v>
      </c>
    </row>
    <row r="11" spans="1:10" x14ac:dyDescent="0.25">
      <c r="A11" s="177" t="s">
        <v>538</v>
      </c>
      <c r="B11" s="178">
        <v>2019</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802</v>
      </c>
      <c r="B15" s="166"/>
      <c r="C15" s="167"/>
      <c r="J15" t="s">
        <v>524</v>
      </c>
    </row>
    <row r="16" spans="1:10" x14ac:dyDescent="0.25">
      <c r="A16" s="168"/>
      <c r="B16" s="169" t="s">
        <v>815</v>
      </c>
      <c r="C16" s="170" t="s">
        <v>816</v>
      </c>
      <c r="J16" t="s">
        <v>525</v>
      </c>
    </row>
    <row r="17" spans="1:10" x14ac:dyDescent="0.25">
      <c r="A17" s="171" t="s">
        <v>811</v>
      </c>
      <c r="B17" s="172">
        <v>100</v>
      </c>
      <c r="C17" s="173">
        <v>50</v>
      </c>
      <c r="J17" t="s">
        <v>526</v>
      </c>
    </row>
    <row r="18" spans="1:10" x14ac:dyDescent="0.25">
      <c r="A18" s="171" t="s">
        <v>812</v>
      </c>
      <c r="B18" s="172">
        <v>50</v>
      </c>
      <c r="C18" s="173">
        <v>25</v>
      </c>
      <c r="J18" t="s">
        <v>527</v>
      </c>
    </row>
    <row r="19" spans="1:10" x14ac:dyDescent="0.25">
      <c r="A19" s="174" t="s">
        <v>813</v>
      </c>
      <c r="B19" s="175">
        <v>25</v>
      </c>
      <c r="C19" s="176">
        <v>10</v>
      </c>
      <c r="J19" t="s">
        <v>528</v>
      </c>
    </row>
    <row r="20" spans="1:10" x14ac:dyDescent="0.25">
      <c r="J20" t="s">
        <v>529</v>
      </c>
    </row>
    <row r="21" spans="1:10" x14ac:dyDescent="0.25">
      <c r="A21" s="165" t="s">
        <v>818</v>
      </c>
      <c r="B21" s="166"/>
      <c r="C21" s="166"/>
      <c r="D21" s="166"/>
      <c r="E21" s="167"/>
      <c r="J21" t="s">
        <v>530</v>
      </c>
    </row>
    <row r="22" spans="1:10" x14ac:dyDescent="0.25">
      <c r="A22" s="174"/>
      <c r="B22" s="169" t="s">
        <v>819</v>
      </c>
      <c r="C22" s="169" t="s">
        <v>820</v>
      </c>
      <c r="D22" s="169" t="s">
        <v>821</v>
      </c>
      <c r="E22" s="170" t="s">
        <v>822</v>
      </c>
      <c r="J22" t="s">
        <v>531</v>
      </c>
    </row>
    <row r="23" spans="1:10" x14ac:dyDescent="0.25">
      <c r="A23" s="174" t="s">
        <v>811</v>
      </c>
      <c r="B23" s="172">
        <v>100</v>
      </c>
      <c r="C23" s="172">
        <v>90</v>
      </c>
      <c r="D23" s="172">
        <v>80</v>
      </c>
      <c r="E23" s="173">
        <v>70</v>
      </c>
      <c r="J23" t="s">
        <v>532</v>
      </c>
    </row>
    <row r="24" spans="1:10" x14ac:dyDescent="0.25">
      <c r="A24" s="171" t="s">
        <v>812</v>
      </c>
      <c r="B24" s="175">
        <v>50</v>
      </c>
      <c r="C24" s="175">
        <v>45</v>
      </c>
      <c r="D24" s="175">
        <v>40</v>
      </c>
      <c r="E24" s="176">
        <v>35</v>
      </c>
      <c r="J24" t="s">
        <v>533</v>
      </c>
    </row>
    <row r="25" spans="1:10" x14ac:dyDescent="0.25">
      <c r="J25" t="s">
        <v>534</v>
      </c>
    </row>
    <row r="26" spans="1:10" x14ac:dyDescent="0.25">
      <c r="A26" s="165" t="s">
        <v>826</v>
      </c>
      <c r="B26" s="166"/>
      <c r="C26" s="167"/>
      <c r="J26" t="s">
        <v>1062</v>
      </c>
    </row>
    <row r="27" spans="1:10" x14ac:dyDescent="0.25">
      <c r="A27" s="177" t="s">
        <v>828</v>
      </c>
      <c r="B27" s="182" t="s">
        <v>829</v>
      </c>
      <c r="C27" s="178" t="s">
        <v>830</v>
      </c>
      <c r="J27" t="s">
        <v>535</v>
      </c>
    </row>
    <row r="28" spans="1:10" ht="14.45" x14ac:dyDescent="0.3">
      <c r="A28" s="179">
        <v>50</v>
      </c>
      <c r="B28" s="183">
        <v>25</v>
      </c>
      <c r="C28" s="180">
        <v>10</v>
      </c>
    </row>
    <row r="30" spans="1:10" x14ac:dyDescent="0.25">
      <c r="A30" s="165" t="s">
        <v>838</v>
      </c>
      <c r="B30" s="166"/>
      <c r="C30" s="167"/>
    </row>
    <row r="31" spans="1:10" x14ac:dyDescent="0.25">
      <c r="A31" s="177" t="s">
        <v>839</v>
      </c>
      <c r="B31" s="182" t="s">
        <v>840</v>
      </c>
      <c r="C31" s="178" t="s">
        <v>841</v>
      </c>
    </row>
    <row r="32" spans="1:10" ht="14.45" x14ac:dyDescent="0.3">
      <c r="A32" s="179">
        <v>5</v>
      </c>
      <c r="B32" s="183">
        <v>10</v>
      </c>
      <c r="C32" s="180">
        <v>2</v>
      </c>
    </row>
    <row r="34" spans="1:14" x14ac:dyDescent="0.25">
      <c r="A34" s="165" t="s">
        <v>844</v>
      </c>
      <c r="B34" s="166"/>
      <c r="C34" s="167"/>
    </row>
    <row r="35" spans="1:14" x14ac:dyDescent="0.25">
      <c r="A35" s="177" t="s">
        <v>846</v>
      </c>
      <c r="B35" s="182" t="s">
        <v>847</v>
      </c>
      <c r="C35" s="178" t="s">
        <v>845</v>
      </c>
    </row>
    <row r="36" spans="1:14" ht="14.45" x14ac:dyDescent="0.3">
      <c r="A36" s="187">
        <v>50</v>
      </c>
      <c r="B36" s="188">
        <v>20</v>
      </c>
      <c r="C36" s="189">
        <v>5</v>
      </c>
      <c r="N36" s="164"/>
    </row>
    <row r="37" spans="1:14" x14ac:dyDescent="0.25">
      <c r="N37" s="164"/>
    </row>
    <row r="38" spans="1:14" x14ac:dyDescent="0.25">
      <c r="A38" s="165" t="s">
        <v>853</v>
      </c>
      <c r="B38" s="167"/>
      <c r="N38" s="164"/>
    </row>
    <row r="39" spans="1:14" x14ac:dyDescent="0.25">
      <c r="A39" s="177" t="s">
        <v>851</v>
      </c>
      <c r="B39" s="178" t="s">
        <v>852</v>
      </c>
    </row>
    <row r="40" spans="1:14" x14ac:dyDescent="0.25">
      <c r="A40" s="179">
        <v>5</v>
      </c>
      <c r="B40" s="180">
        <v>5</v>
      </c>
    </row>
    <row r="42" spans="1:14" x14ac:dyDescent="0.25">
      <c r="A42" s="190" t="s">
        <v>854</v>
      </c>
      <c r="B42" s="166"/>
      <c r="C42" s="167"/>
    </row>
    <row r="43" spans="1:14" x14ac:dyDescent="0.25">
      <c r="A43" s="177" t="s">
        <v>855</v>
      </c>
      <c r="B43" s="182" t="s">
        <v>856</v>
      </c>
      <c r="C43" s="178" t="s">
        <v>857</v>
      </c>
    </row>
    <row r="44" spans="1:14" x14ac:dyDescent="0.25">
      <c r="A44" s="179">
        <v>10</v>
      </c>
      <c r="B44" s="183">
        <v>10</v>
      </c>
      <c r="C44" s="180">
        <v>5</v>
      </c>
    </row>
    <row r="46" spans="1:14" x14ac:dyDescent="0.25">
      <c r="A46" t="s">
        <v>864</v>
      </c>
    </row>
    <row r="47" spans="1:14" x14ac:dyDescent="0.25">
      <c r="A47" s="164" t="s">
        <v>865</v>
      </c>
      <c r="B47" s="164" t="s">
        <v>866</v>
      </c>
      <c r="C47" s="164" t="s">
        <v>867</v>
      </c>
      <c r="D47" s="164" t="s">
        <v>868</v>
      </c>
    </row>
    <row r="48" spans="1:14" x14ac:dyDescent="0.25">
      <c r="A48" s="191">
        <v>120</v>
      </c>
      <c r="B48" s="191">
        <v>60</v>
      </c>
      <c r="C48" s="191">
        <v>40</v>
      </c>
      <c r="D48" s="191">
        <v>20</v>
      </c>
    </row>
    <row r="50" spans="1:5" x14ac:dyDescent="0.25">
      <c r="A50" t="s">
        <v>872</v>
      </c>
    </row>
    <row r="51" spans="1:5" x14ac:dyDescent="0.25">
      <c r="A51" s="164" t="s">
        <v>865</v>
      </c>
      <c r="B51" s="164" t="s">
        <v>873</v>
      </c>
    </row>
    <row r="52" spans="1:5" x14ac:dyDescent="0.25">
      <c r="A52" s="164">
        <v>200</v>
      </c>
      <c r="B52" s="191">
        <v>50</v>
      </c>
    </row>
    <row r="54" spans="1:5" x14ac:dyDescent="0.25">
      <c r="A54" t="s">
        <v>876</v>
      </c>
    </row>
    <row r="55" spans="1:5" ht="19.5" x14ac:dyDescent="0.25">
      <c r="B55" s="181" t="s">
        <v>754</v>
      </c>
      <c r="C55" s="181" t="s">
        <v>755</v>
      </c>
      <c r="D55" s="181" t="s">
        <v>756</v>
      </c>
    </row>
    <row r="56" spans="1:5" x14ac:dyDescent="0.25">
      <c r="A56" s="191" t="s">
        <v>785</v>
      </c>
      <c r="B56" s="191">
        <v>50</v>
      </c>
      <c r="C56" s="191">
        <v>5</v>
      </c>
      <c r="D56">
        <v>3</v>
      </c>
    </row>
    <row r="57" spans="1:5" x14ac:dyDescent="0.25">
      <c r="A57" s="191" t="s">
        <v>786</v>
      </c>
      <c r="B57" s="191">
        <v>20</v>
      </c>
      <c r="C57" s="191">
        <v>2</v>
      </c>
      <c r="D57">
        <v>3</v>
      </c>
    </row>
    <row r="59" spans="1:5" x14ac:dyDescent="0.25">
      <c r="A59" t="s">
        <v>879</v>
      </c>
    </row>
    <row r="60" spans="1:5" x14ac:dyDescent="0.25">
      <c r="A60" s="164" t="s">
        <v>880</v>
      </c>
      <c r="B60" s="164" t="s">
        <v>462</v>
      </c>
    </row>
    <row r="61" spans="1:5" x14ac:dyDescent="0.25">
      <c r="A61" s="191">
        <v>15</v>
      </c>
      <c r="B61" s="191">
        <v>10</v>
      </c>
    </row>
    <row r="63" spans="1:5" x14ac:dyDescent="0.25">
      <c r="A63" t="s">
        <v>890</v>
      </c>
    </row>
    <row r="64" spans="1:5" x14ac:dyDescent="0.25">
      <c r="A64" t="s">
        <v>886</v>
      </c>
      <c r="B64" t="s">
        <v>887</v>
      </c>
      <c r="C64" t="s">
        <v>888</v>
      </c>
      <c r="D64" t="s">
        <v>889</v>
      </c>
      <c r="E64" t="s">
        <v>885</v>
      </c>
    </row>
    <row r="65" spans="1:8" x14ac:dyDescent="0.25">
      <c r="A65" s="164">
        <v>10</v>
      </c>
      <c r="B65" s="164">
        <v>10</v>
      </c>
      <c r="C65" s="164">
        <v>10</v>
      </c>
      <c r="D65" s="164">
        <v>50</v>
      </c>
      <c r="E65" s="164">
        <v>10</v>
      </c>
    </row>
    <row r="66" spans="1:8" x14ac:dyDescent="0.25">
      <c r="B66" s="164"/>
    </row>
    <row r="67" spans="1:8" x14ac:dyDescent="0.25">
      <c r="A67" t="s">
        <v>895</v>
      </c>
      <c r="B67" s="164"/>
    </row>
    <row r="68" spans="1:8" x14ac:dyDescent="0.25">
      <c r="A68" t="s">
        <v>897</v>
      </c>
      <c r="B68" t="s">
        <v>898</v>
      </c>
      <c r="C68" t="s">
        <v>896</v>
      </c>
    </row>
    <row r="69" spans="1:8" x14ac:dyDescent="0.25">
      <c r="A69" s="164">
        <v>60</v>
      </c>
      <c r="B69" s="164">
        <v>30</v>
      </c>
      <c r="C69" s="164">
        <v>15</v>
      </c>
    </row>
    <row r="70" spans="1:8" x14ac:dyDescent="0.25">
      <c r="B70" s="164"/>
    </row>
    <row r="71" spans="1:8" ht="15.75" customHeight="1" x14ac:dyDescent="0.25">
      <c r="A71" s="161" t="s">
        <v>915</v>
      </c>
      <c r="B71" s="161"/>
      <c r="C71" s="161"/>
      <c r="D71" s="161"/>
      <c r="E71" s="161"/>
      <c r="F71" s="161"/>
      <c r="G71" s="161"/>
      <c r="H71" s="161"/>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61" t="s">
        <v>917</v>
      </c>
    </row>
    <row r="76" spans="1:8" x14ac:dyDescent="0.25">
      <c r="A76" t="s">
        <v>916</v>
      </c>
      <c r="B76" t="s">
        <v>912</v>
      </c>
      <c r="C76" t="s">
        <v>913</v>
      </c>
      <c r="D76" t="s">
        <v>914</v>
      </c>
    </row>
    <row r="77" spans="1:8" x14ac:dyDescent="0.25">
      <c r="A77">
        <v>100</v>
      </c>
      <c r="B77">
        <v>60</v>
      </c>
      <c r="C77">
        <v>30</v>
      </c>
      <c r="D77">
        <v>15</v>
      </c>
    </row>
    <row r="79" spans="1:8" ht="15.75" x14ac:dyDescent="0.25">
      <c r="A79" s="161" t="s">
        <v>928</v>
      </c>
      <c r="B79" s="161"/>
      <c r="C79" s="161"/>
      <c r="D79" s="161"/>
      <c r="E79" s="161"/>
      <c r="F79" s="161"/>
      <c r="G79" s="161"/>
    </row>
    <row r="80" spans="1:8" x14ac:dyDescent="0.25">
      <c r="A80" s="197" t="s">
        <v>921</v>
      </c>
      <c r="B80" s="197" t="s">
        <v>920</v>
      </c>
    </row>
    <row r="81" spans="1:10" x14ac:dyDescent="0.25">
      <c r="A81">
        <v>200</v>
      </c>
      <c r="B81">
        <v>100</v>
      </c>
    </row>
    <row r="83" spans="1:10" ht="15.75" x14ac:dyDescent="0.25">
      <c r="A83" s="199" t="s">
        <v>922</v>
      </c>
      <c r="B83" s="199"/>
      <c r="C83" s="199"/>
      <c r="D83" s="198"/>
      <c r="E83" s="198"/>
      <c r="F83" s="198"/>
      <c r="G83" s="198"/>
      <c r="H83" s="198"/>
      <c r="I83" s="198"/>
    </row>
    <row r="84" spans="1:10" ht="15.75" x14ac:dyDescent="0.25">
      <c r="A84" s="200" t="s">
        <v>548</v>
      </c>
      <c r="B84" s="200" t="s">
        <v>549</v>
      </c>
      <c r="C84" s="201" t="s">
        <v>926</v>
      </c>
      <c r="J84" s="198"/>
    </row>
    <row r="85" spans="1:10" x14ac:dyDescent="0.25">
      <c r="A85" s="202">
        <v>200</v>
      </c>
      <c r="B85" s="202">
        <v>100</v>
      </c>
      <c r="C85" s="202">
        <v>100</v>
      </c>
    </row>
    <row r="87" spans="1:10" ht="15.75" x14ac:dyDescent="0.25">
      <c r="A87" s="161" t="s">
        <v>927</v>
      </c>
      <c r="B87" s="161"/>
      <c r="C87" s="161"/>
      <c r="D87" s="161"/>
      <c r="E87" s="161"/>
      <c r="F87" s="161"/>
      <c r="G87" s="161"/>
    </row>
    <row r="88" spans="1:10" x14ac:dyDescent="0.25">
      <c r="A88" t="s">
        <v>714</v>
      </c>
      <c r="B88" t="s">
        <v>715</v>
      </c>
      <c r="C88" t="s">
        <v>716</v>
      </c>
    </row>
    <row r="89" spans="1:10" x14ac:dyDescent="0.25">
      <c r="A89">
        <v>10</v>
      </c>
      <c r="B89">
        <v>8</v>
      </c>
      <c r="C89">
        <v>3</v>
      </c>
    </row>
    <row r="91" spans="1:10" ht="15.75" x14ac:dyDescent="0.25">
      <c r="A91" s="161" t="s">
        <v>934</v>
      </c>
      <c r="B91" s="161" t="s">
        <v>723</v>
      </c>
    </row>
    <row r="92" spans="1:10" x14ac:dyDescent="0.25">
      <c r="B92" t="s">
        <v>935</v>
      </c>
      <c r="C92" t="s">
        <v>936</v>
      </c>
      <c r="D92" t="s">
        <v>937</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939</v>
      </c>
    </row>
    <row r="100" spans="1:8" x14ac:dyDescent="0.25">
      <c r="B100" t="s">
        <v>935</v>
      </c>
      <c r="C100" t="s">
        <v>936</v>
      </c>
      <c r="D100" t="s">
        <v>937</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946</v>
      </c>
      <c r="B106" s="161"/>
      <c r="C106" s="161"/>
      <c r="D106" s="161"/>
      <c r="E106" s="161"/>
      <c r="F106" s="161"/>
      <c r="G106" s="161"/>
      <c r="H106" s="161"/>
    </row>
    <row r="107" spans="1:8" x14ac:dyDescent="0.25">
      <c r="A107" t="s">
        <v>948</v>
      </c>
      <c r="B107" t="s">
        <v>949</v>
      </c>
      <c r="C107" t="s">
        <v>947</v>
      </c>
    </row>
    <row r="108" spans="1:8" x14ac:dyDescent="0.25">
      <c r="A108">
        <v>0.75</v>
      </c>
      <c r="B108">
        <v>0.6</v>
      </c>
      <c r="C108">
        <v>0.5</v>
      </c>
    </row>
    <row r="110" spans="1:8" ht="15.75" customHeight="1" x14ac:dyDescent="0.25">
      <c r="A110" s="161" t="s">
        <v>950</v>
      </c>
      <c r="B110" s="161"/>
      <c r="C110" s="161"/>
      <c r="D110" s="161"/>
      <c r="E110" s="161"/>
      <c r="F110" s="161"/>
      <c r="G110" s="161"/>
      <c r="H110" s="161"/>
    </row>
    <row r="111" spans="1:8" x14ac:dyDescent="0.25">
      <c r="A111" t="s">
        <v>951</v>
      </c>
      <c r="B111" t="s">
        <v>952</v>
      </c>
      <c r="C111" t="s">
        <v>953</v>
      </c>
      <c r="D111" t="s">
        <v>954</v>
      </c>
    </row>
    <row r="112" spans="1:8" x14ac:dyDescent="0.25">
      <c r="A112">
        <v>30</v>
      </c>
      <c r="B112">
        <v>15</v>
      </c>
      <c r="C112">
        <v>10</v>
      </c>
      <c r="D112">
        <v>5</v>
      </c>
    </row>
    <row r="114" spans="1:8" ht="15.75" x14ac:dyDescent="0.25">
      <c r="A114" s="342" t="s">
        <v>956</v>
      </c>
      <c r="B114" s="342"/>
      <c r="C114" s="342"/>
      <c r="D114" s="342"/>
      <c r="E114" s="342"/>
      <c r="F114" s="342"/>
      <c r="G114" s="342"/>
      <c r="H114" s="342"/>
    </row>
    <row r="115" spans="1:8" x14ac:dyDescent="0.25">
      <c r="A115" t="s">
        <v>958</v>
      </c>
      <c r="B115" t="s">
        <v>959</v>
      </c>
      <c r="C115" t="s">
        <v>960</v>
      </c>
      <c r="D115" t="s">
        <v>961</v>
      </c>
    </row>
    <row r="116" spans="1:8" x14ac:dyDescent="0.25">
      <c r="A116">
        <v>0.3</v>
      </c>
      <c r="B116">
        <v>0.4</v>
      </c>
      <c r="C116">
        <v>0.4</v>
      </c>
      <c r="D116">
        <v>0.3</v>
      </c>
    </row>
    <row r="118" spans="1:8" ht="15.75" x14ac:dyDescent="0.25">
      <c r="A118" s="195" t="s">
        <v>976</v>
      </c>
      <c r="B118" s="195"/>
      <c r="C118" s="195"/>
      <c r="D118" s="195"/>
      <c r="E118" s="195"/>
      <c r="F118" s="195"/>
    </row>
    <row r="119" spans="1:8" x14ac:dyDescent="0.25">
      <c r="A119" s="164" t="s">
        <v>966</v>
      </c>
      <c r="B119" s="164" t="s">
        <v>967</v>
      </c>
    </row>
    <row r="120" spans="1:8" x14ac:dyDescent="0.25">
      <c r="A120">
        <v>10</v>
      </c>
      <c r="B120">
        <v>8</v>
      </c>
    </row>
    <row r="122" spans="1:8" x14ac:dyDescent="0.25">
      <c r="A122" t="s">
        <v>1039</v>
      </c>
    </row>
    <row r="123" spans="1:8" x14ac:dyDescent="0.25">
      <c r="A123" s="191" t="s">
        <v>1041</v>
      </c>
      <c r="B123" s="191" t="s">
        <v>1040</v>
      </c>
      <c r="C123" s="191" t="str">
        <f>CONCATENATE("Sub îndrumarea comisiei care include ",functie," ",nume_candidat)</f>
        <v>Sub îndrumarea comisiei care include Profesor Lascu Dan</v>
      </c>
    </row>
    <row r="124" spans="1:8" x14ac:dyDescent="0.25">
      <c r="A124">
        <v>50</v>
      </c>
      <c r="B124">
        <v>10</v>
      </c>
      <c r="C124">
        <v>5</v>
      </c>
    </row>
    <row r="126" spans="1:8" ht="15.75" x14ac:dyDescent="0.25">
      <c r="A126" s="195" t="s">
        <v>975</v>
      </c>
      <c r="B126" s="195"/>
      <c r="C126" s="195"/>
      <c r="D126" s="195"/>
      <c r="E126" s="195"/>
    </row>
    <row r="127" spans="1:8" x14ac:dyDescent="0.25">
      <c r="A127" t="s">
        <v>972</v>
      </c>
      <c r="B127" t="s">
        <v>973</v>
      </c>
      <c r="C127" t="s">
        <v>974</v>
      </c>
    </row>
    <row r="128" spans="1:8" x14ac:dyDescent="0.25">
      <c r="A128" s="191">
        <v>20</v>
      </c>
      <c r="B128" s="191">
        <v>5</v>
      </c>
      <c r="C128" s="191">
        <v>2</v>
      </c>
    </row>
    <row r="130" spans="1:12" x14ac:dyDescent="0.25">
      <c r="A130" t="s">
        <v>982</v>
      </c>
    </row>
    <row r="131" spans="1:12" x14ac:dyDescent="0.25">
      <c r="A131" t="s">
        <v>984</v>
      </c>
      <c r="B131" t="s">
        <v>985</v>
      </c>
      <c r="C131" t="s">
        <v>986</v>
      </c>
      <c r="D131" t="s">
        <v>987</v>
      </c>
      <c r="E131" t="s">
        <v>988</v>
      </c>
      <c r="F131" t="s">
        <v>989</v>
      </c>
    </row>
    <row r="132" spans="1:12" x14ac:dyDescent="0.25">
      <c r="A132" s="205">
        <v>50</v>
      </c>
      <c r="B132" s="206">
        <v>25</v>
      </c>
      <c r="C132" s="207">
        <v>10</v>
      </c>
      <c r="D132" s="205">
        <v>20</v>
      </c>
      <c r="E132" s="206">
        <v>10</v>
      </c>
      <c r="F132" s="207">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208" t="s">
        <v>992</v>
      </c>
      <c r="B140" s="209" t="s">
        <v>993</v>
      </c>
      <c r="C140" s="209" t="s">
        <v>994</v>
      </c>
      <c r="D140" s="210" t="s">
        <v>995</v>
      </c>
      <c r="E140" s="208" t="s">
        <v>996</v>
      </c>
      <c r="F140" s="209" t="s">
        <v>997</v>
      </c>
      <c r="G140" s="209" t="s">
        <v>998</v>
      </c>
      <c r="H140" s="210" t="s">
        <v>999</v>
      </c>
      <c r="I140" s="208" t="s">
        <v>1000</v>
      </c>
      <c r="K140" s="209" t="s">
        <v>1002</v>
      </c>
      <c r="L140" s="210" t="s">
        <v>1003</v>
      </c>
    </row>
    <row r="141" spans="1:12" ht="255" x14ac:dyDescent="0.25">
      <c r="A141" s="208">
        <v>400</v>
      </c>
      <c r="B141" s="209">
        <v>200</v>
      </c>
      <c r="C141" s="209">
        <v>100</v>
      </c>
      <c r="D141" s="210">
        <v>50</v>
      </c>
      <c r="E141" s="208">
        <v>200</v>
      </c>
      <c r="F141" s="209">
        <v>100</v>
      </c>
      <c r="G141" s="209">
        <v>50</v>
      </c>
      <c r="H141" s="210">
        <v>25</v>
      </c>
      <c r="I141" s="208">
        <v>20</v>
      </c>
      <c r="J141" s="209" t="s">
        <v>1001</v>
      </c>
      <c r="K141" s="209">
        <v>10</v>
      </c>
      <c r="L141" s="210">
        <v>5</v>
      </c>
    </row>
    <row r="142" spans="1:12" x14ac:dyDescent="0.25">
      <c r="J142" s="209">
        <v>10</v>
      </c>
    </row>
    <row r="143" spans="1:12" ht="15.75" x14ac:dyDescent="0.25">
      <c r="A143" s="343" t="s">
        <v>1006</v>
      </c>
      <c r="B143" s="343"/>
      <c r="C143" s="343"/>
      <c r="D143" s="343"/>
      <c r="E143" s="343"/>
    </row>
    <row r="144" spans="1:12" x14ac:dyDescent="0.25">
      <c r="A144" s="206" t="s">
        <v>1007</v>
      </c>
      <c r="B144" s="211" t="s">
        <v>1008</v>
      </c>
    </row>
    <row r="145" spans="1:3" x14ac:dyDescent="0.25">
      <c r="A145" s="206">
        <v>100</v>
      </c>
      <c r="B145" s="207">
        <v>50</v>
      </c>
    </row>
    <row r="147" spans="1:3" ht="30" x14ac:dyDescent="0.25">
      <c r="A147" s="185" t="s">
        <v>1010</v>
      </c>
      <c r="B147" s="186" t="s">
        <v>605</v>
      </c>
      <c r="C147" s="186" t="s">
        <v>605</v>
      </c>
    </row>
    <row r="148" spans="1:3" x14ac:dyDescent="0.25">
      <c r="A148" s="212" t="s">
        <v>1011</v>
      </c>
      <c r="B148" s="212" t="s">
        <v>1012</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60" zoomScaleNormal="60" workbookViewId="0">
      <selection activeCell="P12" sqref="P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ht="15.6" x14ac:dyDescent="0.2">
      <c r="A2" s="400" t="str">
        <f>IF(ISBLANK(facultate), IF(ISBLANK(departament),"","Departament " &amp; departament), "Facultatea " &amp; facultate)</f>
        <v>Facultatea Electronică și Telecomunicații</v>
      </c>
      <c r="F2" s="61"/>
      <c r="G2" s="63"/>
      <c r="H2" s="62"/>
      <c r="I2" s="289"/>
    </row>
    <row r="3" spans="1:10" s="60" customFormat="1" ht="15.6" x14ac:dyDescent="0.2">
      <c r="A3" s="400" t="str">
        <f>IF(ISBLANK(departament),"","Departamentul " &amp; departament)</f>
        <v>Departamentul Electronică Aplicată</v>
      </c>
      <c r="F3" s="61"/>
      <c r="G3" s="63"/>
      <c r="H3" s="62"/>
      <c r="I3" s="289"/>
    </row>
    <row r="4" spans="1:10" x14ac:dyDescent="0.25">
      <c r="A4" s="559" t="s">
        <v>905</v>
      </c>
      <c r="B4" s="559"/>
      <c r="C4" s="559"/>
      <c r="D4" s="559"/>
      <c r="E4" s="559"/>
      <c r="F4" s="559"/>
      <c r="G4" s="559"/>
      <c r="H4" s="226"/>
      <c r="I4" s="291"/>
    </row>
    <row r="5" spans="1:10" ht="15.75" customHeight="1" x14ac:dyDescent="0.25">
      <c r="A5" s="565" t="s">
        <v>924</v>
      </c>
      <c r="B5" s="559"/>
      <c r="C5" s="559"/>
      <c r="D5" s="559"/>
      <c r="E5" s="559"/>
      <c r="F5" s="559"/>
      <c r="G5" s="559"/>
      <c r="H5" s="226"/>
    </row>
    <row r="6" spans="1:10" ht="13.5" customHeight="1" x14ac:dyDescent="0.3">
      <c r="G6" s="369" t="str">
        <f>CONCATENATE(functie," ",nume_candidat)</f>
        <v>Profesor Lascu Dan</v>
      </c>
    </row>
    <row r="7" spans="1:10" s="33" customFormat="1" ht="15.75" customHeight="1" x14ac:dyDescent="0.2">
      <c r="A7" s="556" t="s">
        <v>338</v>
      </c>
      <c r="B7" s="556" t="s">
        <v>0</v>
      </c>
      <c r="C7" s="556" t="s">
        <v>1</v>
      </c>
      <c r="D7" s="557" t="s">
        <v>1030</v>
      </c>
      <c r="E7" s="557" t="s">
        <v>1029</v>
      </c>
      <c r="F7" s="556" t="s">
        <v>2</v>
      </c>
      <c r="G7" s="557" t="s">
        <v>544</v>
      </c>
      <c r="H7" s="217" t="s">
        <v>4</v>
      </c>
      <c r="I7" s="563" t="s">
        <v>541</v>
      </c>
      <c r="J7" s="566" t="s">
        <v>551</v>
      </c>
    </row>
    <row r="8" spans="1:10" s="33" customFormat="1" ht="31.5" x14ac:dyDescent="0.2">
      <c r="A8" s="556"/>
      <c r="B8" s="556"/>
      <c r="C8" s="556"/>
      <c r="D8" s="558"/>
      <c r="E8" s="558"/>
      <c r="F8" s="556"/>
      <c r="G8" s="558"/>
      <c r="H8" s="370" t="str">
        <f>CONCATENATE("ultimii                                  ",durata_evaluare," ani")</f>
        <v>ultimii                                  5 ani</v>
      </c>
      <c r="I8" s="563"/>
      <c r="J8" s="566"/>
    </row>
    <row r="9" spans="1:10" s="33" customFormat="1" x14ac:dyDescent="0.2">
      <c r="A9" s="88"/>
      <c r="B9" s="65"/>
      <c r="C9" s="65"/>
      <c r="D9" s="65"/>
      <c r="E9" s="65"/>
      <c r="F9" s="162"/>
      <c r="G9" s="356">
        <f>SUMIF(G10:G1010,"&gt;0")</f>
        <v>928</v>
      </c>
      <c r="H9" s="371">
        <f>SUMIF(H10:H1259,"&gt;0")</f>
        <v>14</v>
      </c>
      <c r="I9" s="298"/>
      <c r="J9" s="304"/>
    </row>
    <row r="10" spans="1:10" s="79" customFormat="1" ht="126" x14ac:dyDescent="0.25">
      <c r="A10" s="37">
        <v>1</v>
      </c>
      <c r="B10" s="514" t="s">
        <v>1356</v>
      </c>
      <c r="C10" s="7" t="s">
        <v>1357</v>
      </c>
      <c r="D10" s="13" t="s">
        <v>1358</v>
      </c>
      <c r="E10" s="13" t="s">
        <v>916</v>
      </c>
      <c r="F10" s="220">
        <v>2015</v>
      </c>
      <c r="G10" s="356">
        <f>IF(OR($B10="",$C10="",$D10="",$F10&lt;an_initial,$F10&gt;an_final,$I10=FALSE),"",(HLOOKUP(E10,ii12punctaje,2,FALSE))*VLOOKUP(J10,Coef!$E$2:$F$17,2,FALSE))</f>
        <v>80</v>
      </c>
      <c r="H10" s="372">
        <f t="shared" ref="H10:H73" si="0">IF(OR($B10="",$C10="",$D10="",$F10&gt;an_final,$I10=FALSE),"",IF($F10&gt;=an_initial,1,""))</f>
        <v>1</v>
      </c>
      <c r="I10" s="373" t="b">
        <f t="shared" ref="I10:I73" si="1">IF(nume_candidat="",FALSE,ISNUMBER(SEARCH(nume_candidat,$B10)))</f>
        <v>1</v>
      </c>
      <c r="J10" s="374">
        <f t="shared" ref="J10:J41" si="2">LEN(B10)-LEN(SUBSTITUTE(B10,",",""))+1</f>
        <v>3</v>
      </c>
    </row>
    <row r="11" spans="1:10" s="33" customFormat="1" ht="173.25" x14ac:dyDescent="0.2">
      <c r="A11" s="37">
        <v>2</v>
      </c>
      <c r="B11" s="7" t="s">
        <v>1359</v>
      </c>
      <c r="C11" s="7" t="s">
        <v>1360</v>
      </c>
      <c r="D11" s="7" t="s">
        <v>1361</v>
      </c>
      <c r="E11" s="7" t="s">
        <v>916</v>
      </c>
      <c r="F11" s="220">
        <v>2015</v>
      </c>
      <c r="G11" s="356">
        <f>IF(OR($B11="",$C11="",$D11="",$F11&lt;an_initial,$F11&gt;an_final,$I11=FALSE),"",(HLOOKUP(E11,ii12punctaje,2,FALSE))*VLOOKUP(J11,Coef!$E$2:$F$17,2,FALSE))</f>
        <v>70</v>
      </c>
      <c r="H11" s="372">
        <f t="shared" si="0"/>
        <v>1</v>
      </c>
      <c r="I11" s="373" t="b">
        <f t="shared" si="1"/>
        <v>1</v>
      </c>
      <c r="J11" s="374">
        <f t="shared" si="2"/>
        <v>4</v>
      </c>
    </row>
    <row r="12" spans="1:10" s="33" customFormat="1" ht="220.5" x14ac:dyDescent="0.2">
      <c r="A12" s="37">
        <v>3</v>
      </c>
      <c r="B12" s="6" t="s">
        <v>1362</v>
      </c>
      <c r="C12" s="7" t="s">
        <v>1364</v>
      </c>
      <c r="D12" s="516" t="s">
        <v>1363</v>
      </c>
      <c r="E12" s="196" t="s">
        <v>916</v>
      </c>
      <c r="F12" s="220">
        <v>2017</v>
      </c>
      <c r="G12" s="356">
        <f>IF(OR($B12="",$C12="",$D12="",$F12&lt;an_initial,$F12&gt;an_final,$I12=FALSE),"",(HLOOKUP(E12,ii12punctaje,2,FALSE))*VLOOKUP(J12,Coef!$E$2:$F$17,2,FALSE))</f>
        <v>60</v>
      </c>
      <c r="H12" s="372">
        <f t="shared" si="0"/>
        <v>1</v>
      </c>
      <c r="I12" s="373" t="b">
        <f t="shared" si="1"/>
        <v>1</v>
      </c>
      <c r="J12" s="374">
        <f t="shared" si="2"/>
        <v>5</v>
      </c>
    </row>
    <row r="13" spans="1:10" s="33" customFormat="1" ht="110.25" x14ac:dyDescent="0.2">
      <c r="A13" s="37">
        <v>4</v>
      </c>
      <c r="B13" s="6" t="s">
        <v>1365</v>
      </c>
      <c r="C13" s="6" t="s">
        <v>1366</v>
      </c>
      <c r="D13" s="516" t="s">
        <v>1367</v>
      </c>
      <c r="E13" s="6" t="s">
        <v>916</v>
      </c>
      <c r="F13" s="217">
        <v>2017</v>
      </c>
      <c r="G13" s="356">
        <f>IF(OR($B13="",$C13="",$D13="",$F13&lt;an_initial,$F13&gt;an_final,$I13=FALSE),"",(HLOOKUP(E13,ii12punctaje,2,FALSE))*VLOOKUP(J13,Coef!$E$2:$F$17,2,FALSE))</f>
        <v>60</v>
      </c>
      <c r="H13" s="372">
        <f t="shared" si="0"/>
        <v>1</v>
      </c>
      <c r="I13" s="373" t="b">
        <f t="shared" si="1"/>
        <v>1</v>
      </c>
      <c r="J13" s="374">
        <f t="shared" si="2"/>
        <v>5</v>
      </c>
    </row>
    <row r="14" spans="1:10" s="33" customFormat="1" ht="173.25" x14ac:dyDescent="0.2">
      <c r="A14" s="37">
        <v>5</v>
      </c>
      <c r="B14" s="6" t="s">
        <v>1362</v>
      </c>
      <c r="C14" s="6" t="s">
        <v>1369</v>
      </c>
      <c r="D14" s="6" t="s">
        <v>1368</v>
      </c>
      <c r="E14" s="6" t="s">
        <v>916</v>
      </c>
      <c r="F14" s="217">
        <v>2017</v>
      </c>
      <c r="G14" s="356">
        <f>IF(OR($B14="",$C14="",$D14="",$F14&lt;an_initial,$F14&gt;an_final,$I14=FALSE),"",(HLOOKUP(E14,ii12punctaje,2,FALSE))*VLOOKUP(J14,Coef!$E$2:$F$17,2,FALSE))</f>
        <v>60</v>
      </c>
      <c r="H14" s="372">
        <f t="shared" si="0"/>
        <v>1</v>
      </c>
      <c r="I14" s="373" t="b">
        <f t="shared" si="1"/>
        <v>1</v>
      </c>
      <c r="J14" s="374">
        <f t="shared" si="2"/>
        <v>5</v>
      </c>
    </row>
    <row r="15" spans="1:10" s="33" customFormat="1" ht="110.25" x14ac:dyDescent="0.2">
      <c r="A15" s="37">
        <v>6</v>
      </c>
      <c r="B15" s="6" t="s">
        <v>1371</v>
      </c>
      <c r="C15" s="6" t="s">
        <v>1370</v>
      </c>
      <c r="D15" s="6" t="s">
        <v>1372</v>
      </c>
      <c r="E15" s="6" t="s">
        <v>916</v>
      </c>
      <c r="F15" s="217">
        <v>2018</v>
      </c>
      <c r="G15" s="356">
        <f>IF(OR($B15="",$C15="",$D15="",$F15&lt;an_initial,$F15&gt;an_final,$I15=FALSE),"",(HLOOKUP(E15,ii12punctaje,2,FALSE))*VLOOKUP(J15,Coef!$E$2:$F$17,2,FALSE))</f>
        <v>50</v>
      </c>
      <c r="H15" s="372">
        <f t="shared" si="0"/>
        <v>1</v>
      </c>
      <c r="I15" s="373" t="b">
        <f t="shared" si="1"/>
        <v>1</v>
      </c>
      <c r="J15" s="374">
        <f t="shared" si="2"/>
        <v>6</v>
      </c>
    </row>
    <row r="16" spans="1:10" s="33" customFormat="1" ht="126" x14ac:dyDescent="0.2">
      <c r="A16" s="37">
        <v>7</v>
      </c>
      <c r="B16" s="6" t="s">
        <v>1373</v>
      </c>
      <c r="C16" s="6" t="s">
        <v>1374</v>
      </c>
      <c r="D16" s="6" t="s">
        <v>1375</v>
      </c>
      <c r="E16" s="6" t="s">
        <v>916</v>
      </c>
      <c r="F16" s="217">
        <v>2018</v>
      </c>
      <c r="G16" s="356">
        <f>IF(OR($B16="",$C16="",$D16="",$F16&lt;an_initial,$F16&gt;an_final,$I16=FALSE),"",(HLOOKUP(E16,ii12punctaje,2,FALSE))*VLOOKUP(J16,Coef!$E$2:$F$17,2,FALSE))</f>
        <v>50</v>
      </c>
      <c r="H16" s="372">
        <f t="shared" si="0"/>
        <v>1</v>
      </c>
      <c r="I16" s="373" t="b">
        <f t="shared" si="1"/>
        <v>1</v>
      </c>
      <c r="J16" s="374">
        <f t="shared" si="2"/>
        <v>6</v>
      </c>
    </row>
    <row r="17" spans="1:10" s="33" customFormat="1" ht="126" x14ac:dyDescent="0.2">
      <c r="A17" s="37">
        <v>8</v>
      </c>
      <c r="B17" s="6" t="s">
        <v>1376</v>
      </c>
      <c r="C17" s="6" t="s">
        <v>1377</v>
      </c>
      <c r="D17" s="6" t="s">
        <v>1378</v>
      </c>
      <c r="E17" s="6" t="s">
        <v>916</v>
      </c>
      <c r="F17" s="217">
        <v>2018</v>
      </c>
      <c r="G17" s="356">
        <f>IF(OR($B17="",$C17="",$D17="",$F17&lt;an_initial,$F17&gt;an_final,$I17=FALSE),"",(HLOOKUP(E17,ii12punctaje,2,FALSE))*VLOOKUP(J17,Coef!$E$2:$F$17,2,FALSE))</f>
        <v>50</v>
      </c>
      <c r="H17" s="372">
        <f t="shared" si="0"/>
        <v>1</v>
      </c>
      <c r="I17" s="373" t="b">
        <f t="shared" si="1"/>
        <v>1</v>
      </c>
      <c r="J17" s="374">
        <f t="shared" si="2"/>
        <v>6</v>
      </c>
    </row>
    <row r="18" spans="1:10" s="33" customFormat="1" ht="173.25" x14ac:dyDescent="0.2">
      <c r="A18" s="37">
        <v>9</v>
      </c>
      <c r="B18" s="6" t="s">
        <v>1379</v>
      </c>
      <c r="C18" s="6" t="s">
        <v>1380</v>
      </c>
      <c r="D18" s="6" t="s">
        <v>1381</v>
      </c>
      <c r="E18" s="6" t="s">
        <v>916</v>
      </c>
      <c r="F18" s="217">
        <v>2018</v>
      </c>
      <c r="G18" s="356">
        <f>IF(OR($B18="",$C18="",$D18="",$F18&lt;an_initial,$F18&gt;an_final,$I18=FALSE),"",(HLOOKUP(E18,ii12punctaje,2,FALSE))*VLOOKUP(J18,Coef!$E$2:$F$17,2,FALSE))</f>
        <v>70</v>
      </c>
      <c r="H18" s="372">
        <f t="shared" si="0"/>
        <v>1</v>
      </c>
      <c r="I18" s="373" t="b">
        <f t="shared" si="1"/>
        <v>1</v>
      </c>
      <c r="J18" s="374">
        <f t="shared" si="2"/>
        <v>4</v>
      </c>
    </row>
    <row r="19" spans="1:10" s="33" customFormat="1" ht="110.25" x14ac:dyDescent="0.2">
      <c r="A19" s="37">
        <v>10</v>
      </c>
      <c r="B19" s="6" t="s">
        <v>1382</v>
      </c>
      <c r="C19" s="516" t="s">
        <v>1383</v>
      </c>
      <c r="D19" s="6" t="s">
        <v>1384</v>
      </c>
      <c r="E19" s="6" t="s">
        <v>916</v>
      </c>
      <c r="F19" s="217">
        <v>2018</v>
      </c>
      <c r="G19" s="356">
        <f>IF(OR($B19="",$C19="",$D19="",$F19&lt;an_initial,$F19&gt;an_final,$I19=FALSE),"",(HLOOKUP(E19,ii12punctaje,2,FALSE))*VLOOKUP(J19,Coef!$E$2:$F$17,2,FALSE))</f>
        <v>90</v>
      </c>
      <c r="H19" s="372">
        <f t="shared" si="0"/>
        <v>1</v>
      </c>
      <c r="I19" s="373" t="b">
        <f t="shared" si="1"/>
        <v>1</v>
      </c>
      <c r="J19" s="374">
        <f t="shared" si="2"/>
        <v>2</v>
      </c>
    </row>
    <row r="20" spans="1:10" s="33" customFormat="1" ht="126" x14ac:dyDescent="0.2">
      <c r="A20" s="37">
        <v>11</v>
      </c>
      <c r="B20" s="6" t="s">
        <v>1386</v>
      </c>
      <c r="C20" s="6" t="s">
        <v>1385</v>
      </c>
      <c r="D20" s="6" t="s">
        <v>1387</v>
      </c>
      <c r="E20" s="6" t="s">
        <v>916</v>
      </c>
      <c r="F20" s="217">
        <v>2019</v>
      </c>
      <c r="G20" s="356">
        <f>IF(OR($B20="",$C20="",$D20="",$F20&lt;an_initial,$F20&gt;an_final,$I20=FALSE),"",(HLOOKUP(E20,ii12punctaje,2,FALSE))*VLOOKUP(J20,Coef!$E$2:$F$17,2,FALSE))</f>
        <v>80</v>
      </c>
      <c r="H20" s="372">
        <f t="shared" si="0"/>
        <v>1</v>
      </c>
      <c r="I20" s="373" t="b">
        <f t="shared" si="1"/>
        <v>1</v>
      </c>
      <c r="J20" s="374">
        <f t="shared" si="2"/>
        <v>3</v>
      </c>
    </row>
    <row r="21" spans="1:10" s="33" customFormat="1" ht="126" x14ac:dyDescent="0.2">
      <c r="A21" s="37">
        <v>12</v>
      </c>
      <c r="B21" s="6" t="s">
        <v>1382</v>
      </c>
      <c r="C21" s="6" t="s">
        <v>1388</v>
      </c>
      <c r="D21" s="6" t="s">
        <v>1389</v>
      </c>
      <c r="E21" s="6" t="s">
        <v>916</v>
      </c>
      <c r="F21" s="217">
        <v>2019</v>
      </c>
      <c r="G21" s="356">
        <f>IF(OR($B21="",$C21="",$D21="",$F21&lt;an_initial,$F21&gt;an_final,$I21=FALSE),"",(HLOOKUP(E21,ii12punctaje,2,FALSE))*VLOOKUP(J21,Coef!$E$2:$F$17,2,FALSE))</f>
        <v>90</v>
      </c>
      <c r="H21" s="372">
        <f t="shared" si="0"/>
        <v>1</v>
      </c>
      <c r="I21" s="373" t="b">
        <f t="shared" si="1"/>
        <v>1</v>
      </c>
      <c r="J21" s="374">
        <f t="shared" si="2"/>
        <v>2</v>
      </c>
    </row>
    <row r="22" spans="1:10" s="33" customFormat="1" ht="78.75" x14ac:dyDescent="0.2">
      <c r="A22" s="37">
        <v>13</v>
      </c>
      <c r="B22" s="6" t="s">
        <v>1390</v>
      </c>
      <c r="C22" s="6" t="s">
        <v>1391</v>
      </c>
      <c r="D22" s="6" t="s">
        <v>1394</v>
      </c>
      <c r="E22" s="6" t="s">
        <v>916</v>
      </c>
      <c r="F22" s="217">
        <v>2019</v>
      </c>
      <c r="G22" s="356">
        <f>IF(OR($B22="",$C22="",$D22="",$F22&lt;an_initial,$F22&gt;an_final,$I22=FALSE),"",(HLOOKUP(E22,ii12punctaje,2,FALSE))*VLOOKUP(J22,Coef!$E$2:$F$17,2,FALSE))</f>
        <v>70</v>
      </c>
      <c r="H22" s="372">
        <f t="shared" si="0"/>
        <v>1</v>
      </c>
      <c r="I22" s="373" t="b">
        <f t="shared" si="1"/>
        <v>1</v>
      </c>
      <c r="J22" s="374">
        <f t="shared" si="2"/>
        <v>4</v>
      </c>
    </row>
    <row r="23" spans="1:10" s="33" customFormat="1" ht="94.5" x14ac:dyDescent="0.2">
      <c r="A23" s="37">
        <v>14</v>
      </c>
      <c r="B23" s="6" t="s">
        <v>1392</v>
      </c>
      <c r="C23" s="6" t="s">
        <v>1393</v>
      </c>
      <c r="D23" s="6" t="s">
        <v>1395</v>
      </c>
      <c r="E23" s="6" t="s">
        <v>912</v>
      </c>
      <c r="F23" s="217">
        <v>2019</v>
      </c>
      <c r="G23" s="356">
        <f>IF(OR($B23="",$C23="",$D23="",$F23&lt;an_initial,$F23&gt;an_final,$I23=FALSE),"",(HLOOKUP(E23,ii12punctaje,2,FALSE))*VLOOKUP(J23,Coef!$E$2:$F$17,2,FALSE))</f>
        <v>48</v>
      </c>
      <c r="H23" s="372">
        <f t="shared" si="0"/>
        <v>1</v>
      </c>
      <c r="I23" s="373" t="b">
        <f t="shared" si="1"/>
        <v>1</v>
      </c>
      <c r="J23" s="374">
        <f t="shared" si="2"/>
        <v>3</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E20" sqref="E20"/>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ht="15.6" x14ac:dyDescent="0.2">
      <c r="A2" s="346" t="str">
        <f>IF(ISBLANK(facultate), IF(ISBLANK(departament),"","Departament " &amp; departament), "Facultatea " &amp; facultate)</f>
        <v>Facultatea Electronică și Telecomunicații</v>
      </c>
      <c r="C2" s="393"/>
      <c r="D2" s="393"/>
      <c r="F2" s="61"/>
      <c r="G2" s="63"/>
      <c r="H2" s="62"/>
      <c r="I2" s="289"/>
    </row>
    <row r="3" spans="1:10" s="60" customFormat="1" ht="15.6" x14ac:dyDescent="0.2">
      <c r="A3" s="346" t="str">
        <f>IF(ISBLANK(departament),"","Departamentul " &amp; departament)</f>
        <v>Departamentul Electronică Aplicată</v>
      </c>
      <c r="C3" s="393"/>
      <c r="D3" s="393"/>
      <c r="F3" s="61"/>
      <c r="G3" s="63"/>
      <c r="H3" s="62"/>
      <c r="I3" s="289"/>
    </row>
    <row r="4" spans="1:10" x14ac:dyDescent="0.25">
      <c r="A4" s="559" t="s">
        <v>905</v>
      </c>
      <c r="B4" s="559"/>
      <c r="C4" s="559"/>
      <c r="D4" s="559"/>
      <c r="E4" s="559"/>
      <c r="F4" s="559"/>
      <c r="G4" s="559"/>
      <c r="H4" s="226"/>
      <c r="I4" s="291"/>
    </row>
    <row r="5" spans="1:10" ht="15.75" customHeight="1" x14ac:dyDescent="0.3">
      <c r="A5" s="565" t="s">
        <v>923</v>
      </c>
      <c r="B5" s="559"/>
      <c r="C5" s="559"/>
      <c r="D5" s="559"/>
      <c r="E5" s="559"/>
      <c r="F5" s="559"/>
      <c r="G5" s="559"/>
      <c r="H5" s="226"/>
    </row>
    <row r="6" spans="1:10" ht="13.5" customHeight="1" x14ac:dyDescent="0.3">
      <c r="G6" s="347" t="str">
        <f>CONCATENATE(functie," ",nume_candidat)</f>
        <v>Profesor Lascu Dan</v>
      </c>
    </row>
    <row r="7" spans="1:10" s="33" customFormat="1" ht="15.75" customHeight="1" x14ac:dyDescent="0.2">
      <c r="A7" s="556" t="s">
        <v>338</v>
      </c>
      <c r="B7" s="556" t="s">
        <v>918</v>
      </c>
      <c r="C7" s="556" t="s">
        <v>451</v>
      </c>
      <c r="D7" s="557" t="s">
        <v>1049</v>
      </c>
      <c r="E7" s="556" t="s">
        <v>919</v>
      </c>
      <c r="F7" s="556" t="s">
        <v>2</v>
      </c>
      <c r="G7" s="557" t="s">
        <v>544</v>
      </c>
      <c r="H7" s="217" t="s">
        <v>4</v>
      </c>
      <c r="I7" s="563" t="s">
        <v>541</v>
      </c>
      <c r="J7" s="566" t="s">
        <v>551</v>
      </c>
    </row>
    <row r="8" spans="1:10" s="33" customFormat="1" ht="31.5" x14ac:dyDescent="0.2">
      <c r="A8" s="556"/>
      <c r="B8" s="556"/>
      <c r="C8" s="556"/>
      <c r="D8" s="558"/>
      <c r="E8" s="556"/>
      <c r="F8" s="556"/>
      <c r="G8" s="558"/>
      <c r="H8" s="348" t="str">
        <f>CONCATENATE("ultimii                                  ",durata_evaluare," ani")</f>
        <v>ultimii                                  5 ani</v>
      </c>
      <c r="I8" s="563"/>
      <c r="J8" s="566"/>
    </row>
    <row r="9" spans="1:10" s="33" customFormat="1" ht="15.6" x14ac:dyDescent="0.3">
      <c r="A9" s="88"/>
      <c r="B9" s="65"/>
      <c r="C9" s="65"/>
      <c r="D9" s="65"/>
      <c r="E9" s="65"/>
      <c r="F9" s="162"/>
      <c r="G9" s="148">
        <f>SUMIF(G10:G1010,"&gt;0")</f>
        <v>0</v>
      </c>
      <c r="H9" s="4">
        <f>SUMIF(H10:H1259,"&gt;0")</f>
        <v>0</v>
      </c>
      <c r="I9" s="298"/>
      <c r="J9" s="304"/>
    </row>
    <row r="10" spans="1:10" s="79" customFormat="1" x14ac:dyDescent="0.25">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2">
      <c r="A11" s="37">
        <v>2</v>
      </c>
      <c r="B11" s="7"/>
      <c r="C11" s="380"/>
      <c r="D11" s="380"/>
      <c r="E11" s="7"/>
      <c r="F11" s="220"/>
      <c r="G11" s="16" t="str">
        <f t="shared" si="0"/>
        <v/>
      </c>
      <c r="H11" s="58" t="str">
        <f t="shared" si="1"/>
        <v/>
      </c>
      <c r="I11" s="349" t="b">
        <f t="shared" si="2"/>
        <v>0</v>
      </c>
      <c r="J11" s="357">
        <f t="shared" si="3"/>
        <v>1</v>
      </c>
    </row>
    <row r="12" spans="1:10" s="33" customFormat="1" x14ac:dyDescent="0.2">
      <c r="A12" s="37">
        <v>3</v>
      </c>
      <c r="B12" s="6"/>
      <c r="C12" s="380"/>
      <c r="D12" s="6"/>
      <c r="E12" s="196"/>
      <c r="F12" s="220"/>
      <c r="G12" s="16" t="str">
        <f t="shared" si="0"/>
        <v/>
      </c>
      <c r="H12" s="58" t="str">
        <f t="shared" si="1"/>
        <v/>
      </c>
      <c r="I12" s="349" t="b">
        <f t="shared" si="2"/>
        <v>0</v>
      </c>
      <c r="J12" s="357">
        <f t="shared" si="3"/>
        <v>1</v>
      </c>
    </row>
    <row r="13" spans="1:10" s="33" customFormat="1" ht="15.6" x14ac:dyDescent="0.3">
      <c r="A13" s="37">
        <v>4</v>
      </c>
      <c r="B13" s="6"/>
      <c r="C13" s="6"/>
      <c r="D13" s="6"/>
      <c r="E13" s="6"/>
      <c r="F13" s="217"/>
      <c r="G13" s="16" t="str">
        <f t="shared" si="0"/>
        <v/>
      </c>
      <c r="H13" s="58" t="str">
        <f t="shared" si="1"/>
        <v/>
      </c>
      <c r="I13" s="349" t="b">
        <f t="shared" si="2"/>
        <v>0</v>
      </c>
      <c r="J13" s="357">
        <f t="shared" si="3"/>
        <v>1</v>
      </c>
    </row>
    <row r="14" spans="1:10" s="33" customFormat="1" ht="15.6" x14ac:dyDescent="0.3">
      <c r="A14" s="37">
        <v>5</v>
      </c>
      <c r="B14" s="6"/>
      <c r="C14" s="6"/>
      <c r="D14" s="6"/>
      <c r="E14" s="6"/>
      <c r="F14" s="217"/>
      <c r="G14" s="16" t="str">
        <f t="shared" si="0"/>
        <v/>
      </c>
      <c r="H14" s="58" t="str">
        <f t="shared" si="1"/>
        <v/>
      </c>
      <c r="I14" s="349" t="b">
        <f t="shared" si="2"/>
        <v>0</v>
      </c>
      <c r="J14" s="357">
        <f t="shared" si="3"/>
        <v>1</v>
      </c>
    </row>
    <row r="15" spans="1:10" s="33" customFormat="1" ht="15.6" x14ac:dyDescent="0.3">
      <c r="A15" s="37">
        <v>6</v>
      </c>
      <c r="B15" s="6"/>
      <c r="C15" s="6"/>
      <c r="D15" s="6"/>
      <c r="E15" s="6"/>
      <c r="F15" s="217"/>
      <c r="G15" s="16" t="str">
        <f t="shared" si="0"/>
        <v/>
      </c>
      <c r="H15" s="58" t="str">
        <f t="shared" si="1"/>
        <v/>
      </c>
      <c r="I15" s="349" t="b">
        <f t="shared" si="2"/>
        <v>0</v>
      </c>
      <c r="J15" s="357">
        <f t="shared" si="3"/>
        <v>1</v>
      </c>
    </row>
    <row r="16" spans="1:10" s="33" customFormat="1" ht="15.6" x14ac:dyDescent="0.3">
      <c r="A16" s="37">
        <v>7</v>
      </c>
      <c r="B16" s="6"/>
      <c r="C16" s="6"/>
      <c r="D16" s="6"/>
      <c r="E16" s="6"/>
      <c r="F16" s="217"/>
      <c r="G16" s="16" t="str">
        <f t="shared" si="0"/>
        <v/>
      </c>
      <c r="H16" s="58" t="str">
        <f t="shared" si="1"/>
        <v/>
      </c>
      <c r="I16" s="349" t="b">
        <f t="shared" si="2"/>
        <v>0</v>
      </c>
      <c r="J16" s="357">
        <f t="shared" si="3"/>
        <v>1</v>
      </c>
    </row>
    <row r="17" spans="1:10" s="33" customFormat="1" ht="15.6" x14ac:dyDescent="0.3">
      <c r="A17" s="37">
        <v>8</v>
      </c>
      <c r="B17" s="6"/>
      <c r="C17" s="6"/>
      <c r="D17" s="6"/>
      <c r="E17" s="6"/>
      <c r="F17" s="217"/>
      <c r="G17" s="16" t="str">
        <f t="shared" si="0"/>
        <v/>
      </c>
      <c r="H17" s="58" t="str">
        <f t="shared" si="1"/>
        <v/>
      </c>
      <c r="I17" s="349" t="b">
        <f t="shared" si="2"/>
        <v>0</v>
      </c>
      <c r="J17" s="357">
        <f t="shared" si="3"/>
        <v>1</v>
      </c>
    </row>
    <row r="18" spans="1:10" s="33" customFormat="1" ht="15.6" x14ac:dyDescent="0.3">
      <c r="A18" s="37">
        <v>9</v>
      </c>
      <c r="B18" s="6"/>
      <c r="C18" s="6"/>
      <c r="D18" s="6"/>
      <c r="E18" s="6"/>
      <c r="F18" s="217"/>
      <c r="G18" s="16" t="str">
        <f t="shared" si="0"/>
        <v/>
      </c>
      <c r="H18" s="58" t="str">
        <f t="shared" si="1"/>
        <v/>
      </c>
      <c r="I18" s="349" t="b">
        <f t="shared" si="2"/>
        <v>0</v>
      </c>
      <c r="J18" s="357">
        <f t="shared" si="3"/>
        <v>1</v>
      </c>
    </row>
    <row r="19" spans="1:10" s="33" customFormat="1" ht="15.6" x14ac:dyDescent="0.3">
      <c r="A19" s="37">
        <v>10</v>
      </c>
      <c r="B19" s="6"/>
      <c r="C19" s="11"/>
      <c r="D19" s="6"/>
      <c r="E19" s="6"/>
      <c r="F19" s="217"/>
      <c r="G19" s="16" t="str">
        <f t="shared" si="0"/>
        <v/>
      </c>
      <c r="H19" s="58" t="str">
        <f t="shared" si="1"/>
        <v/>
      </c>
      <c r="I19" s="349" t="b">
        <f t="shared" si="2"/>
        <v>0</v>
      </c>
      <c r="J19" s="357">
        <f t="shared" si="3"/>
        <v>1</v>
      </c>
    </row>
    <row r="20" spans="1:10" s="33" customFormat="1" ht="15.6" x14ac:dyDescent="0.3">
      <c r="A20" s="37">
        <v>11</v>
      </c>
      <c r="B20" s="6"/>
      <c r="C20" s="6"/>
      <c r="D20" s="6"/>
      <c r="E20" s="6"/>
      <c r="F20" s="217"/>
      <c r="G20" s="16" t="str">
        <f t="shared" si="0"/>
        <v/>
      </c>
      <c r="H20" s="58" t="str">
        <f t="shared" si="1"/>
        <v/>
      </c>
      <c r="I20" s="349" t="b">
        <f t="shared" si="2"/>
        <v>0</v>
      </c>
      <c r="J20" s="357">
        <f t="shared" si="3"/>
        <v>1</v>
      </c>
    </row>
    <row r="21" spans="1:10" s="33" customFormat="1" ht="15.6" x14ac:dyDescent="0.3">
      <c r="A21" s="37">
        <v>12</v>
      </c>
      <c r="B21" s="6"/>
      <c r="C21" s="6"/>
      <c r="D21" s="6"/>
      <c r="E21" s="6"/>
      <c r="F21" s="217"/>
      <c r="G21" s="16" t="str">
        <f t="shared" si="0"/>
        <v/>
      </c>
      <c r="H21" s="58" t="str">
        <f t="shared" si="1"/>
        <v/>
      </c>
      <c r="I21" s="349" t="b">
        <f t="shared" si="2"/>
        <v>0</v>
      </c>
      <c r="J21" s="357">
        <f t="shared" si="3"/>
        <v>1</v>
      </c>
    </row>
    <row r="22" spans="1:10" s="33" customFormat="1" ht="15.6" x14ac:dyDescent="0.3">
      <c r="A22" s="37">
        <v>13</v>
      </c>
      <c r="B22" s="6"/>
      <c r="C22" s="6"/>
      <c r="D22" s="6"/>
      <c r="E22" s="6"/>
      <c r="F22" s="217"/>
      <c r="G22" s="16" t="str">
        <f t="shared" si="0"/>
        <v/>
      </c>
      <c r="H22" s="58" t="str">
        <f t="shared" si="1"/>
        <v/>
      </c>
      <c r="I22" s="349" t="b">
        <f t="shared" si="2"/>
        <v>0</v>
      </c>
      <c r="J22" s="357">
        <f t="shared" si="3"/>
        <v>1</v>
      </c>
    </row>
    <row r="23" spans="1:10" s="33" customFormat="1" ht="15.6" x14ac:dyDescent="0.3">
      <c r="A23" s="37">
        <v>14</v>
      </c>
      <c r="B23" s="6"/>
      <c r="C23" s="6"/>
      <c r="D23" s="6"/>
      <c r="E23" s="6"/>
      <c r="F23" s="217"/>
      <c r="G23" s="16" t="str">
        <f t="shared" si="0"/>
        <v/>
      </c>
      <c r="H23" s="58" t="str">
        <f t="shared" si="1"/>
        <v/>
      </c>
      <c r="I23" s="349" t="b">
        <f t="shared" si="2"/>
        <v>0</v>
      </c>
      <c r="J23" s="357">
        <f t="shared" si="3"/>
        <v>1</v>
      </c>
    </row>
    <row r="24" spans="1:10" s="33" customFormat="1" ht="15.6" x14ac:dyDescent="0.3">
      <c r="A24" s="37">
        <v>15</v>
      </c>
      <c r="B24" s="6"/>
      <c r="C24" s="6"/>
      <c r="D24" s="6"/>
      <c r="E24" s="6"/>
      <c r="F24" s="217"/>
      <c r="G24" s="16" t="str">
        <f t="shared" si="0"/>
        <v/>
      </c>
      <c r="H24" s="58" t="str">
        <f t="shared" si="1"/>
        <v/>
      </c>
      <c r="I24" s="349" t="b">
        <f t="shared" si="2"/>
        <v>0</v>
      </c>
      <c r="J24" s="357">
        <f t="shared" si="3"/>
        <v>1</v>
      </c>
    </row>
    <row r="25" spans="1:10" s="33" customFormat="1" ht="15.6" x14ac:dyDescent="0.3">
      <c r="A25" s="37">
        <v>16</v>
      </c>
      <c r="B25" s="6"/>
      <c r="C25" s="6"/>
      <c r="D25" s="6"/>
      <c r="E25" s="6"/>
      <c r="F25" s="217"/>
      <c r="G25" s="16" t="str">
        <f t="shared" si="0"/>
        <v/>
      </c>
      <c r="H25" s="58" t="str">
        <f t="shared" si="1"/>
        <v/>
      </c>
      <c r="I25" s="349" t="b">
        <f t="shared" si="2"/>
        <v>0</v>
      </c>
      <c r="J25" s="357">
        <f t="shared" si="3"/>
        <v>1</v>
      </c>
    </row>
    <row r="26" spans="1:10" s="33" customFormat="1" ht="15.6" x14ac:dyDescent="0.3">
      <c r="A26" s="37">
        <v>17</v>
      </c>
      <c r="B26" s="6"/>
      <c r="C26" s="6"/>
      <c r="D26" s="6"/>
      <c r="E26" s="6"/>
      <c r="F26" s="217"/>
      <c r="G26" s="16" t="str">
        <f t="shared" si="0"/>
        <v/>
      </c>
      <c r="H26" s="58" t="str">
        <f t="shared" si="1"/>
        <v/>
      </c>
      <c r="I26" s="349" t="b">
        <f t="shared" si="2"/>
        <v>0</v>
      </c>
      <c r="J26" s="357">
        <f t="shared" si="3"/>
        <v>1</v>
      </c>
    </row>
    <row r="27" spans="1:10" s="33" customFormat="1" ht="15.6" x14ac:dyDescent="0.3">
      <c r="A27" s="37">
        <v>18</v>
      </c>
      <c r="B27" s="6"/>
      <c r="C27" s="6"/>
      <c r="D27" s="6"/>
      <c r="E27" s="6"/>
      <c r="F27" s="217"/>
      <c r="G27" s="16" t="str">
        <f t="shared" si="0"/>
        <v/>
      </c>
      <c r="H27" s="58" t="str">
        <f t="shared" si="1"/>
        <v/>
      </c>
      <c r="I27" s="349" t="b">
        <f t="shared" si="2"/>
        <v>0</v>
      </c>
      <c r="J27" s="357">
        <f t="shared" si="3"/>
        <v>1</v>
      </c>
    </row>
    <row r="28" spans="1:10" s="33" customFormat="1" ht="15.6" x14ac:dyDescent="0.3">
      <c r="A28" s="37">
        <v>19</v>
      </c>
      <c r="B28" s="6"/>
      <c r="C28" s="6"/>
      <c r="D28" s="6"/>
      <c r="E28" s="6"/>
      <c r="F28" s="217"/>
      <c r="G28" s="16" t="str">
        <f t="shared" si="0"/>
        <v/>
      </c>
      <c r="H28" s="58" t="str">
        <f t="shared" si="1"/>
        <v/>
      </c>
      <c r="I28" s="349" t="b">
        <f t="shared" si="2"/>
        <v>0</v>
      </c>
      <c r="J28" s="357">
        <f t="shared" si="3"/>
        <v>1</v>
      </c>
    </row>
    <row r="29" spans="1:10" s="33" customFormat="1" ht="15.6" x14ac:dyDescent="0.3">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C25" sqref="C25"/>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6"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ht="15.6" x14ac:dyDescent="0.2">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ht="15.6" x14ac:dyDescent="0.2">
      <c r="A3" s="346" t="str">
        <f>IF(ISBLANK(departament),"","Departamentul " &amp; departament)</f>
        <v>Departamentul Electronică Aplicată</v>
      </c>
      <c r="B3" s="60"/>
      <c r="C3" s="60"/>
      <c r="D3" s="60"/>
      <c r="E3" s="61"/>
      <c r="F3" s="61"/>
      <c r="G3" s="60"/>
      <c r="H3" s="62"/>
      <c r="I3" s="63"/>
      <c r="J3" s="62"/>
      <c r="K3" s="289"/>
      <c r="L3" s="289"/>
      <c r="M3" s="60"/>
      <c r="N3" s="60"/>
      <c r="O3" s="60"/>
      <c r="P3" s="60"/>
      <c r="Q3" s="60"/>
      <c r="R3" s="60"/>
      <c r="S3" s="63"/>
    </row>
    <row r="4" spans="1:19" s="64" customFormat="1" x14ac:dyDescent="0.25">
      <c r="A4" s="582" t="s">
        <v>905</v>
      </c>
      <c r="B4" s="582"/>
      <c r="C4" s="582"/>
      <c r="D4" s="582"/>
      <c r="E4" s="582"/>
      <c r="F4" s="582"/>
      <c r="G4" s="582"/>
      <c r="H4" s="582"/>
      <c r="I4" s="582"/>
      <c r="J4" s="305"/>
      <c r="K4" s="305"/>
      <c r="L4" s="305"/>
      <c r="M4" s="305"/>
      <c r="N4" s="305"/>
      <c r="O4" s="305"/>
      <c r="P4" s="305"/>
      <c r="Q4" s="306"/>
      <c r="R4" s="33"/>
      <c r="S4" s="33"/>
    </row>
    <row r="5" spans="1:19" s="64" customFormat="1" x14ac:dyDescent="0.25">
      <c r="A5" s="581" t="s">
        <v>1080</v>
      </c>
      <c r="B5" s="581"/>
      <c r="C5" s="581"/>
      <c r="D5" s="581"/>
      <c r="E5" s="581"/>
      <c r="F5" s="581"/>
      <c r="G5" s="581"/>
      <c r="H5" s="581"/>
      <c r="I5" s="581"/>
      <c r="J5" s="305"/>
      <c r="K5" s="305"/>
      <c r="L5" s="305"/>
      <c r="M5" s="305"/>
      <c r="N5" s="305"/>
      <c r="O5" s="305"/>
      <c r="P5" s="305"/>
      <c r="Q5" s="83"/>
      <c r="R5" s="33"/>
      <c r="S5" s="33"/>
    </row>
    <row r="6" spans="1:19" ht="13.5" customHeight="1" x14ac:dyDescent="0.3">
      <c r="F6" s="154"/>
      <c r="I6" s="347" t="str">
        <f>CONCATENATE(functie," ",nume_candidat)</f>
        <v>Profesor Lascu Dan</v>
      </c>
      <c r="K6" s="307"/>
      <c r="N6" s="305"/>
      <c r="O6" s="305"/>
      <c r="P6" s="305"/>
      <c r="S6" s="347" t="str">
        <f>CONCATENATE(functie," ",nume_candidat)</f>
        <v>Profesor Lascu Dan</v>
      </c>
    </row>
    <row r="7" spans="1:19" ht="20.25" customHeight="1" x14ac:dyDescent="0.2">
      <c r="A7" s="556" t="s">
        <v>338</v>
      </c>
      <c r="B7" s="556" t="s">
        <v>0</v>
      </c>
      <c r="C7" s="556" t="s">
        <v>23</v>
      </c>
      <c r="D7" s="556" t="s">
        <v>337</v>
      </c>
      <c r="E7" s="556" t="s">
        <v>2</v>
      </c>
      <c r="F7" s="583" t="s">
        <v>53</v>
      </c>
      <c r="G7" s="584"/>
      <c r="H7" s="585"/>
      <c r="I7" s="557" t="s">
        <v>544</v>
      </c>
      <c r="J7" s="297" t="s">
        <v>4</v>
      </c>
      <c r="K7" s="308" t="s">
        <v>54</v>
      </c>
      <c r="L7" s="308" t="s">
        <v>55</v>
      </c>
      <c r="M7" s="297" t="s">
        <v>547</v>
      </c>
      <c r="N7" s="297" t="s">
        <v>56</v>
      </c>
      <c r="O7" s="297" t="s">
        <v>57</v>
      </c>
      <c r="P7" s="297" t="s">
        <v>58</v>
      </c>
      <c r="Q7" s="563" t="s">
        <v>541</v>
      </c>
      <c r="R7" s="566" t="s">
        <v>551</v>
      </c>
      <c r="S7" s="557" t="s">
        <v>1110</v>
      </c>
    </row>
    <row r="8" spans="1:19" ht="55.5" customHeight="1" x14ac:dyDescent="0.2">
      <c r="A8" s="556"/>
      <c r="B8" s="556"/>
      <c r="C8" s="556"/>
      <c r="D8" s="556"/>
      <c r="E8" s="556"/>
      <c r="F8" s="217" t="s">
        <v>925</v>
      </c>
      <c r="G8" s="217" t="s">
        <v>548</v>
      </c>
      <c r="H8" s="217" t="s">
        <v>549</v>
      </c>
      <c r="I8" s="558"/>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63"/>
      <c r="R8" s="566"/>
      <c r="S8" s="558"/>
    </row>
    <row r="9" spans="1:19" ht="15.6" x14ac:dyDescent="0.3">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2">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2">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2">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ht="15.6" x14ac:dyDescent="0.3">
      <c r="A13" s="37">
        <v>4</v>
      </c>
      <c r="B13" s="6"/>
      <c r="C13" s="380"/>
      <c r="D13" s="380"/>
      <c r="E13" s="428"/>
      <c r="F13" s="425"/>
      <c r="G13" s="425"/>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ht="15.6" x14ac:dyDescent="0.3">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ht="15.6" x14ac:dyDescent="0.3">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ht="15.6" x14ac:dyDescent="0.3">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ht="15.6" x14ac:dyDescent="0.3">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ht="15.6" x14ac:dyDescent="0.3">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ht="15.6" x14ac:dyDescent="0.3">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ht="15.6" x14ac:dyDescent="0.3">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ht="15.6" x14ac:dyDescent="0.3">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ht="15.6" x14ac:dyDescent="0.3">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ht="15.6" x14ac:dyDescent="0.3">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ht="15.6" x14ac:dyDescent="0.3">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ht="15.6" x14ac:dyDescent="0.3">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ht="15.6" x14ac:dyDescent="0.3">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ht="15.6" x14ac:dyDescent="0.3">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ht="15.6" x14ac:dyDescent="0.3">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ht="15.6" x14ac:dyDescent="0.3">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ht="15.6" x14ac:dyDescent="0.3">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ht="15.6" x14ac:dyDescent="0.3">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ht="15.6" x14ac:dyDescent="0.3">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ht="15.6" x14ac:dyDescent="0.3">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F19" sqref="F19"/>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Electronică Aplicată</v>
      </c>
      <c r="D3" s="60"/>
      <c r="E3" s="61"/>
      <c r="F3" s="61"/>
      <c r="G3" s="60"/>
      <c r="H3" s="62"/>
      <c r="I3" s="60"/>
      <c r="J3" s="289"/>
      <c r="K3" s="289"/>
      <c r="L3" s="289"/>
      <c r="M3" s="289"/>
      <c r="N3" s="289"/>
      <c r="O3" s="60"/>
      <c r="Q3" s="289"/>
      <c r="R3" s="289"/>
      <c r="S3" s="289"/>
    </row>
    <row r="4" spans="1:26" s="64" customFormat="1" x14ac:dyDescent="0.25">
      <c r="A4" s="559" t="s">
        <v>905</v>
      </c>
      <c r="B4" s="559"/>
      <c r="C4" s="559"/>
      <c r="D4" s="559"/>
      <c r="E4" s="559"/>
      <c r="F4" s="559"/>
      <c r="G4" s="559"/>
      <c r="H4" s="559"/>
      <c r="I4" s="559"/>
      <c r="J4" s="559"/>
      <c r="K4" s="559"/>
      <c r="L4" s="559"/>
      <c r="M4" s="559"/>
      <c r="N4" s="559"/>
      <c r="O4" s="306"/>
      <c r="P4" s="33"/>
      <c r="Q4" s="33"/>
      <c r="R4" s="33"/>
      <c r="S4" s="33"/>
      <c r="T4" s="33"/>
      <c r="U4" s="33"/>
      <c r="V4" s="33"/>
      <c r="W4" s="33"/>
      <c r="X4" s="33"/>
      <c r="Y4" s="33"/>
      <c r="Z4" s="33"/>
    </row>
    <row r="5" spans="1:26" s="64" customFormat="1" ht="44.25" customHeight="1" x14ac:dyDescent="0.25">
      <c r="A5" s="565" t="s">
        <v>1018</v>
      </c>
      <c r="B5" s="565"/>
      <c r="C5" s="565"/>
      <c r="D5" s="565"/>
      <c r="E5" s="565"/>
      <c r="F5" s="565"/>
      <c r="G5" s="565"/>
      <c r="H5" s="565"/>
      <c r="I5" s="565"/>
      <c r="J5" s="565"/>
      <c r="K5" s="565"/>
      <c r="L5" s="565"/>
      <c r="M5" s="565"/>
      <c r="N5" s="565"/>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Lascu Dan</v>
      </c>
      <c r="P6" s="33"/>
      <c r="Q6" s="307"/>
      <c r="R6" s="307"/>
      <c r="S6" s="307"/>
      <c r="T6" s="33"/>
      <c r="U6" s="33"/>
      <c r="V6" s="33"/>
      <c r="W6" s="33"/>
      <c r="X6" s="33"/>
      <c r="Y6" s="33"/>
      <c r="Z6" s="33"/>
    </row>
    <row r="7" spans="1:26" ht="34.5" customHeight="1" x14ac:dyDescent="0.2">
      <c r="A7" s="556" t="s">
        <v>338</v>
      </c>
      <c r="B7" s="556" t="s">
        <v>542</v>
      </c>
      <c r="C7" s="556" t="s">
        <v>63</v>
      </c>
      <c r="D7" s="556" t="s">
        <v>37</v>
      </c>
      <c r="E7" s="562" t="s">
        <v>2</v>
      </c>
      <c r="F7" s="591" t="s">
        <v>1074</v>
      </c>
      <c r="G7" s="567" t="s">
        <v>36</v>
      </c>
      <c r="H7" s="588" t="s">
        <v>550</v>
      </c>
      <c r="I7" s="589"/>
      <c r="J7" s="590"/>
      <c r="K7" s="593" t="s">
        <v>1064</v>
      </c>
      <c r="L7" s="594"/>
      <c r="M7" s="586" t="s">
        <v>544</v>
      </c>
      <c r="N7" s="556" t="s">
        <v>38</v>
      </c>
      <c r="O7" s="563" t="s">
        <v>541</v>
      </c>
      <c r="P7" s="566" t="s">
        <v>551</v>
      </c>
      <c r="Q7" s="586" t="s">
        <v>544</v>
      </c>
      <c r="R7" s="586" t="s">
        <v>544</v>
      </c>
      <c r="S7" s="586" t="s">
        <v>544</v>
      </c>
    </row>
    <row r="8" spans="1:26" ht="199.5" customHeight="1" thickBot="1" x14ac:dyDescent="0.25">
      <c r="A8" s="556"/>
      <c r="B8" s="556"/>
      <c r="C8" s="556"/>
      <c r="D8" s="556"/>
      <c r="E8" s="562"/>
      <c r="F8" s="592"/>
      <c r="G8" s="569"/>
      <c r="H8" s="309" t="s">
        <v>332</v>
      </c>
      <c r="I8" s="309" t="s">
        <v>333</v>
      </c>
      <c r="J8" s="310" t="s">
        <v>1023</v>
      </c>
      <c r="K8" s="315" t="s">
        <v>1077</v>
      </c>
      <c r="L8" s="416" t="s">
        <v>1078</v>
      </c>
      <c r="M8" s="587"/>
      <c r="N8" s="556"/>
      <c r="O8" s="563"/>
      <c r="P8" s="566"/>
      <c r="Q8" s="587"/>
      <c r="R8" s="587"/>
      <c r="S8" s="587"/>
    </row>
    <row r="9" spans="1:26" ht="16.5" thickBot="1" x14ac:dyDescent="0.25">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2">
      <c r="A10" s="37">
        <v>1</v>
      </c>
      <c r="B10" s="7"/>
      <c r="C10" s="6"/>
      <c r="D10" s="217"/>
      <c r="E10" s="216"/>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2">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2">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2">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2">
      <c r="A15" s="37">
        <v>6</v>
      </c>
      <c r="B15" s="380"/>
      <c r="C15" s="6"/>
      <c r="D15" s="413"/>
      <c r="E15" s="414"/>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5"/>
      <c r="E160" s="427"/>
      <c r="F160" s="312"/>
      <c r="G160" s="77"/>
      <c r="H160" s="428"/>
      <c r="I160" s="428"/>
      <c r="J160" s="427"/>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5"/>
      <c r="E161" s="427"/>
      <c r="F161" s="312"/>
      <c r="G161" s="77"/>
      <c r="H161" s="428"/>
      <c r="I161" s="428"/>
      <c r="J161" s="427"/>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5"/>
      <c r="E162" s="427"/>
      <c r="F162" s="312"/>
      <c r="G162" s="77"/>
      <c r="H162" s="428"/>
      <c r="I162" s="428"/>
      <c r="J162" s="427"/>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5"/>
      <c r="E163" s="427"/>
      <c r="F163" s="312"/>
      <c r="G163" s="77"/>
      <c r="H163" s="428"/>
      <c r="I163" s="428"/>
      <c r="J163" s="427"/>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5"/>
      <c r="E164" s="427"/>
      <c r="F164" s="312"/>
      <c r="G164" s="77"/>
      <c r="H164" s="428"/>
      <c r="I164" s="428"/>
      <c r="J164" s="427"/>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5"/>
      <c r="E165" s="427"/>
      <c r="F165" s="312"/>
      <c r="G165" s="77"/>
      <c r="H165" s="428"/>
      <c r="I165" s="428"/>
      <c r="J165" s="427"/>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5"/>
      <c r="E166" s="427"/>
      <c r="F166" s="312"/>
      <c r="G166" s="77"/>
      <c r="H166" s="428"/>
      <c r="I166" s="428"/>
      <c r="J166" s="427"/>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5"/>
      <c r="E167" s="427"/>
      <c r="F167" s="312"/>
      <c r="G167" s="77"/>
      <c r="H167" s="428"/>
      <c r="I167" s="428"/>
      <c r="J167" s="427"/>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5"/>
      <c r="E168" s="427"/>
      <c r="F168" s="312"/>
      <c r="G168" s="77"/>
      <c r="H168" s="428"/>
      <c r="I168" s="428"/>
      <c r="J168" s="427"/>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5"/>
      <c r="E169" s="427"/>
      <c r="F169" s="312"/>
      <c r="G169" s="77"/>
      <c r="H169" s="428"/>
      <c r="I169" s="428"/>
      <c r="J169" s="427"/>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5"/>
      <c r="E170" s="427"/>
      <c r="F170" s="312"/>
      <c r="G170" s="77"/>
      <c r="H170" s="428"/>
      <c r="I170" s="428"/>
      <c r="J170" s="427"/>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5"/>
      <c r="E171" s="427"/>
      <c r="F171" s="312"/>
      <c r="G171" s="77"/>
      <c r="H171" s="428"/>
      <c r="I171" s="428"/>
      <c r="J171" s="427"/>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5"/>
      <c r="E172" s="427"/>
      <c r="F172" s="312"/>
      <c r="G172" s="77"/>
      <c r="H172" s="428"/>
      <c r="I172" s="428"/>
      <c r="J172" s="427"/>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5"/>
      <c r="E173" s="427"/>
      <c r="F173" s="312"/>
      <c r="G173" s="77"/>
      <c r="H173" s="428"/>
      <c r="I173" s="428"/>
      <c r="J173" s="427"/>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5"/>
      <c r="E174" s="427"/>
      <c r="F174" s="312"/>
      <c r="G174" s="77"/>
      <c r="H174" s="428"/>
      <c r="I174" s="428"/>
      <c r="J174" s="427"/>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5"/>
      <c r="E175" s="427"/>
      <c r="F175" s="312"/>
      <c r="G175" s="77"/>
      <c r="H175" s="428"/>
      <c r="I175" s="428"/>
      <c r="J175" s="427"/>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5"/>
      <c r="E176" s="427"/>
      <c r="F176" s="312"/>
      <c r="G176" s="77"/>
      <c r="H176" s="428"/>
      <c r="I176" s="428"/>
      <c r="J176" s="427"/>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5"/>
      <c r="E177" s="427"/>
      <c r="F177" s="312"/>
      <c r="G177" s="77"/>
      <c r="H177" s="428"/>
      <c r="I177" s="428"/>
      <c r="J177" s="427"/>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5"/>
      <c r="E178" s="427"/>
      <c r="F178" s="312"/>
      <c r="G178" s="77"/>
      <c r="H178" s="428"/>
      <c r="I178" s="428"/>
      <c r="J178" s="427"/>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5"/>
      <c r="E179" s="427"/>
      <c r="F179" s="312"/>
      <c r="G179" s="77"/>
      <c r="H179" s="428"/>
      <c r="I179" s="428"/>
      <c r="J179" s="427"/>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5"/>
      <c r="E180" s="427"/>
      <c r="F180" s="312"/>
      <c r="G180" s="77"/>
      <c r="H180" s="428"/>
      <c r="I180" s="428"/>
      <c r="J180" s="427"/>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5"/>
      <c r="E181" s="427"/>
      <c r="F181" s="312"/>
      <c r="G181" s="77"/>
      <c r="H181" s="428"/>
      <c r="I181" s="428"/>
      <c r="J181" s="427"/>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5"/>
      <c r="E182" s="427"/>
      <c r="F182" s="312"/>
      <c r="G182" s="77"/>
      <c r="H182" s="428"/>
      <c r="I182" s="428"/>
      <c r="J182" s="427"/>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5"/>
      <c r="E183" s="427"/>
      <c r="F183" s="312"/>
      <c r="G183" s="77"/>
      <c r="H183" s="428"/>
      <c r="I183" s="428"/>
      <c r="J183" s="427"/>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5"/>
      <c r="E184" s="427"/>
      <c r="F184" s="312"/>
      <c r="G184" s="77"/>
      <c r="H184" s="428"/>
      <c r="I184" s="428"/>
      <c r="J184" s="427"/>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5"/>
      <c r="E185" s="427"/>
      <c r="F185" s="312"/>
      <c r="G185" s="77"/>
      <c r="H185" s="428"/>
      <c r="I185" s="428"/>
      <c r="J185" s="427"/>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5"/>
      <c r="E186" s="427"/>
      <c r="F186" s="312"/>
      <c r="G186" s="77"/>
      <c r="H186" s="428"/>
      <c r="I186" s="428"/>
      <c r="J186" s="427"/>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5"/>
      <c r="E187" s="427"/>
      <c r="F187" s="312"/>
      <c r="G187" s="77"/>
      <c r="H187" s="428"/>
      <c r="I187" s="428"/>
      <c r="J187" s="427"/>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5"/>
      <c r="E188" s="427"/>
      <c r="F188" s="312"/>
      <c r="G188" s="77"/>
      <c r="H188" s="428"/>
      <c r="I188" s="428"/>
      <c r="J188" s="427"/>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5"/>
      <c r="E189" s="427"/>
      <c r="F189" s="312"/>
      <c r="G189" s="77"/>
      <c r="H189" s="428"/>
      <c r="I189" s="428"/>
      <c r="J189" s="427"/>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5"/>
      <c r="E190" s="427"/>
      <c r="F190" s="312"/>
      <c r="G190" s="77"/>
      <c r="H190" s="428"/>
      <c r="I190" s="428"/>
      <c r="J190" s="427"/>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5"/>
      <c r="E191" s="427"/>
      <c r="F191" s="312"/>
      <c r="G191" s="77"/>
      <c r="H191" s="428"/>
      <c r="I191" s="428"/>
      <c r="J191" s="427"/>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5"/>
      <c r="E192" s="427"/>
      <c r="F192" s="312"/>
      <c r="G192" s="77"/>
      <c r="H192" s="428"/>
      <c r="I192" s="428"/>
      <c r="J192" s="427"/>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5"/>
      <c r="E193" s="427"/>
      <c r="F193" s="312"/>
      <c r="G193" s="77"/>
      <c r="H193" s="428"/>
      <c r="I193" s="428"/>
      <c r="J193" s="427"/>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5"/>
      <c r="E194" s="427"/>
      <c r="F194" s="312"/>
      <c r="G194" s="77"/>
      <c r="H194" s="428"/>
      <c r="I194" s="428"/>
      <c r="J194" s="427"/>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5"/>
      <c r="E195" s="427"/>
      <c r="F195" s="312"/>
      <c r="G195" s="77"/>
      <c r="H195" s="428"/>
      <c r="I195" s="428"/>
      <c r="J195" s="427"/>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5"/>
      <c r="E196" s="427"/>
      <c r="F196" s="312"/>
      <c r="G196" s="77"/>
      <c r="H196" s="428"/>
      <c r="I196" s="428"/>
      <c r="J196" s="427"/>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5"/>
      <c r="E197" s="427"/>
      <c r="F197" s="312"/>
      <c r="G197" s="77"/>
      <c r="H197" s="428"/>
      <c r="I197" s="428"/>
      <c r="J197" s="427"/>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5"/>
      <c r="E198" s="427"/>
      <c r="F198" s="312"/>
      <c r="G198" s="77"/>
      <c r="H198" s="428"/>
      <c r="I198" s="428"/>
      <c r="J198" s="427"/>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5"/>
      <c r="E199" s="427"/>
      <c r="F199" s="312"/>
      <c r="G199" s="77"/>
      <c r="H199" s="428"/>
      <c r="I199" s="428"/>
      <c r="J199" s="427"/>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5"/>
      <c r="E200" s="427"/>
      <c r="F200" s="312"/>
      <c r="G200" s="77"/>
      <c r="H200" s="428"/>
      <c r="I200" s="428"/>
      <c r="J200" s="427"/>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5"/>
      <c r="E201" s="427"/>
      <c r="F201" s="312"/>
      <c r="G201" s="77"/>
      <c r="H201" s="428"/>
      <c r="I201" s="428"/>
      <c r="J201" s="427"/>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5"/>
      <c r="E202" s="427"/>
      <c r="F202" s="312"/>
      <c r="G202" s="77"/>
      <c r="H202" s="428"/>
      <c r="I202" s="428"/>
      <c r="J202" s="427"/>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5"/>
      <c r="E203" s="427"/>
      <c r="F203" s="312"/>
      <c r="G203" s="77"/>
      <c r="H203" s="428"/>
      <c r="I203" s="428"/>
      <c r="J203" s="427"/>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5"/>
      <c r="E204" s="427"/>
      <c r="F204" s="312"/>
      <c r="G204" s="77"/>
      <c r="H204" s="428"/>
      <c r="I204" s="428"/>
      <c r="J204" s="427"/>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5"/>
      <c r="E205" s="427"/>
      <c r="F205" s="312"/>
      <c r="G205" s="77"/>
      <c r="H205" s="428"/>
      <c r="I205" s="428"/>
      <c r="J205" s="427"/>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5"/>
      <c r="E206" s="427"/>
      <c r="F206" s="312"/>
      <c r="G206" s="77"/>
      <c r="H206" s="428"/>
      <c r="I206" s="428"/>
      <c r="J206" s="427"/>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5"/>
      <c r="E207" s="427"/>
      <c r="F207" s="312"/>
      <c r="G207" s="77"/>
      <c r="H207" s="428"/>
      <c r="I207" s="428"/>
      <c r="J207" s="427"/>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5"/>
      <c r="E208" s="427"/>
      <c r="F208" s="312"/>
      <c r="G208" s="77"/>
      <c r="H208" s="428"/>
      <c r="I208" s="428"/>
      <c r="J208" s="427"/>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5"/>
      <c r="E209" s="427"/>
      <c r="F209" s="312"/>
      <c r="G209" s="77"/>
      <c r="H209" s="428"/>
      <c r="I209" s="428"/>
      <c r="J209" s="427"/>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5"/>
      <c r="E210" s="427"/>
      <c r="F210" s="312"/>
      <c r="G210" s="77"/>
      <c r="H210" s="428"/>
      <c r="I210" s="428"/>
      <c r="J210" s="427"/>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5"/>
      <c r="E211" s="427"/>
      <c r="F211" s="312"/>
      <c r="G211" s="77"/>
      <c r="H211" s="428"/>
      <c r="I211" s="428"/>
      <c r="J211" s="427"/>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5"/>
      <c r="E212" s="427"/>
      <c r="F212" s="312"/>
      <c r="G212" s="77"/>
      <c r="H212" s="428"/>
      <c r="I212" s="428"/>
      <c r="J212" s="427"/>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5"/>
      <c r="E213" s="427"/>
      <c r="F213" s="312"/>
      <c r="G213" s="77"/>
      <c r="H213" s="428"/>
      <c r="I213" s="428"/>
      <c r="J213" s="427"/>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5"/>
      <c r="E214" s="427"/>
      <c r="F214" s="312"/>
      <c r="G214" s="77"/>
      <c r="H214" s="428"/>
      <c r="I214" s="428"/>
      <c r="J214" s="427"/>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5"/>
      <c r="E215" s="427"/>
      <c r="F215" s="312"/>
      <c r="G215" s="77"/>
      <c r="H215" s="428"/>
      <c r="I215" s="428"/>
      <c r="J215" s="427"/>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5"/>
      <c r="E216" s="427"/>
      <c r="F216" s="312"/>
      <c r="G216" s="77"/>
      <c r="H216" s="428"/>
      <c r="I216" s="428"/>
      <c r="J216" s="427"/>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5"/>
      <c r="E217" s="427"/>
      <c r="F217" s="312"/>
      <c r="G217" s="77"/>
      <c r="H217" s="428"/>
      <c r="I217" s="428"/>
      <c r="J217" s="427"/>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5"/>
      <c r="E218" s="427"/>
      <c r="F218" s="312"/>
      <c r="G218" s="77"/>
      <c r="H218" s="428"/>
      <c r="I218" s="428"/>
      <c r="J218" s="427"/>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5"/>
      <c r="E219" s="427"/>
      <c r="F219" s="312"/>
      <c r="G219" s="77"/>
      <c r="H219" s="428"/>
      <c r="I219" s="428"/>
      <c r="J219" s="427"/>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5"/>
      <c r="E220" s="427"/>
      <c r="F220" s="312"/>
      <c r="G220" s="77"/>
      <c r="H220" s="428"/>
      <c r="I220" s="428"/>
      <c r="J220" s="427"/>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5"/>
      <c r="E221" s="427"/>
      <c r="F221" s="312"/>
      <c r="G221" s="77"/>
      <c r="H221" s="428"/>
      <c r="I221" s="428"/>
      <c r="J221" s="427"/>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5"/>
      <c r="E222" s="427"/>
      <c r="F222" s="312"/>
      <c r="G222" s="77"/>
      <c r="H222" s="428"/>
      <c r="I222" s="428"/>
      <c r="J222" s="427"/>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5"/>
      <c r="E223" s="427"/>
      <c r="F223" s="312"/>
      <c r="G223" s="77"/>
      <c r="H223" s="428"/>
      <c r="I223" s="428"/>
      <c r="J223" s="427"/>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5"/>
      <c r="E224" s="427"/>
      <c r="F224" s="312"/>
      <c r="G224" s="77"/>
      <c r="H224" s="428"/>
      <c r="I224" s="428"/>
      <c r="J224" s="427"/>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5"/>
      <c r="E225" s="427"/>
      <c r="F225" s="312"/>
      <c r="G225" s="77"/>
      <c r="H225" s="428"/>
      <c r="I225" s="428"/>
      <c r="J225" s="427"/>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5"/>
      <c r="E226" s="427"/>
      <c r="F226" s="312"/>
      <c r="G226" s="77"/>
      <c r="H226" s="428"/>
      <c r="I226" s="428"/>
      <c r="J226" s="427"/>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5"/>
      <c r="E227" s="427"/>
      <c r="F227" s="312"/>
      <c r="G227" s="77"/>
      <c r="H227" s="428"/>
      <c r="I227" s="428"/>
      <c r="J227" s="427"/>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5"/>
      <c r="E228" s="427"/>
      <c r="F228" s="312"/>
      <c r="G228" s="77"/>
      <c r="H228" s="428"/>
      <c r="I228" s="428"/>
      <c r="J228" s="427"/>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5"/>
      <c r="E229" s="427"/>
      <c r="F229" s="312"/>
      <c r="G229" s="77"/>
      <c r="H229" s="428"/>
      <c r="I229" s="428"/>
      <c r="J229" s="427"/>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5"/>
      <c r="E230" s="427"/>
      <c r="F230" s="312"/>
      <c r="G230" s="77"/>
      <c r="H230" s="428"/>
      <c r="I230" s="428"/>
      <c r="J230" s="427"/>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5"/>
      <c r="E231" s="427"/>
      <c r="F231" s="312"/>
      <c r="G231" s="77"/>
      <c r="H231" s="428"/>
      <c r="I231" s="428"/>
      <c r="J231" s="427"/>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5"/>
      <c r="E232" s="427"/>
      <c r="F232" s="312"/>
      <c r="G232" s="77"/>
      <c r="H232" s="428"/>
      <c r="I232" s="428"/>
      <c r="J232" s="427"/>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5"/>
      <c r="E233" s="427"/>
      <c r="F233" s="312"/>
      <c r="G233" s="77"/>
      <c r="H233" s="428"/>
      <c r="I233" s="428"/>
      <c r="J233" s="427"/>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5"/>
      <c r="E234" s="427"/>
      <c r="F234" s="312"/>
      <c r="G234" s="77"/>
      <c r="H234" s="428"/>
      <c r="I234" s="428"/>
      <c r="J234" s="427"/>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5"/>
      <c r="E235" s="427"/>
      <c r="F235" s="312"/>
      <c r="G235" s="77"/>
      <c r="H235" s="428"/>
      <c r="I235" s="428"/>
      <c r="J235" s="427"/>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5"/>
      <c r="E236" s="427"/>
      <c r="F236" s="312"/>
      <c r="G236" s="77"/>
      <c r="H236" s="428"/>
      <c r="I236" s="428"/>
      <c r="J236" s="427"/>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5"/>
      <c r="E237" s="427"/>
      <c r="F237" s="312"/>
      <c r="G237" s="77"/>
      <c r="H237" s="428"/>
      <c r="I237" s="428"/>
      <c r="J237" s="427"/>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5"/>
      <c r="E238" s="427"/>
      <c r="F238" s="312"/>
      <c r="G238" s="77"/>
      <c r="H238" s="428"/>
      <c r="I238" s="428"/>
      <c r="J238" s="427"/>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5"/>
      <c r="E239" s="427"/>
      <c r="F239" s="312"/>
      <c r="G239" s="77"/>
      <c r="H239" s="428"/>
      <c r="I239" s="428"/>
      <c r="J239" s="427"/>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5"/>
      <c r="E240" s="427"/>
      <c r="F240" s="312"/>
      <c r="G240" s="77"/>
      <c r="H240" s="428"/>
      <c r="I240" s="428"/>
      <c r="J240" s="427"/>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5"/>
      <c r="E241" s="427"/>
      <c r="F241" s="312"/>
      <c r="G241" s="77"/>
      <c r="H241" s="428"/>
      <c r="I241" s="428"/>
      <c r="J241" s="427"/>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5"/>
      <c r="E242" s="427"/>
      <c r="F242" s="312"/>
      <c r="G242" s="77"/>
      <c r="H242" s="428"/>
      <c r="I242" s="428"/>
      <c r="J242" s="427"/>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5"/>
      <c r="E243" s="427"/>
      <c r="F243" s="312"/>
      <c r="G243" s="77"/>
      <c r="H243" s="428"/>
      <c r="I243" s="428"/>
      <c r="J243" s="427"/>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5"/>
      <c r="E244" s="427"/>
      <c r="F244" s="312"/>
      <c r="G244" s="77"/>
      <c r="H244" s="428"/>
      <c r="I244" s="428"/>
      <c r="J244" s="427"/>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5"/>
      <c r="E245" s="427"/>
      <c r="F245" s="312"/>
      <c r="G245" s="77"/>
      <c r="H245" s="428"/>
      <c r="I245" s="428"/>
      <c r="J245" s="427"/>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5"/>
      <c r="E246" s="427"/>
      <c r="F246" s="312"/>
      <c r="G246" s="77"/>
      <c r="H246" s="428"/>
      <c r="I246" s="428"/>
      <c r="J246" s="427"/>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5"/>
      <c r="E247" s="427"/>
      <c r="F247" s="312"/>
      <c r="G247" s="77"/>
      <c r="H247" s="428"/>
      <c r="I247" s="428"/>
      <c r="J247" s="427"/>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5"/>
      <c r="E248" s="427"/>
      <c r="F248" s="312"/>
      <c r="G248" s="77"/>
      <c r="H248" s="428"/>
      <c r="I248" s="428"/>
      <c r="J248" s="427"/>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5"/>
      <c r="E249" s="427"/>
      <c r="F249" s="312"/>
      <c r="G249" s="77"/>
      <c r="H249" s="428"/>
      <c r="I249" s="428"/>
      <c r="J249" s="427"/>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5"/>
      <c r="E250" s="427"/>
      <c r="F250" s="312"/>
      <c r="G250" s="77"/>
      <c r="H250" s="428"/>
      <c r="I250" s="428"/>
      <c r="J250" s="427"/>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5"/>
      <c r="E251" s="427"/>
      <c r="F251" s="312"/>
      <c r="G251" s="77"/>
      <c r="H251" s="428"/>
      <c r="I251" s="428"/>
      <c r="J251" s="427"/>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5"/>
      <c r="E252" s="427"/>
      <c r="F252" s="312"/>
      <c r="G252" s="77"/>
      <c r="H252" s="428"/>
      <c r="I252" s="428"/>
      <c r="J252" s="427"/>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5"/>
      <c r="E253" s="427"/>
      <c r="F253" s="312"/>
      <c r="G253" s="77"/>
      <c r="H253" s="428"/>
      <c r="I253" s="428"/>
      <c r="J253" s="427"/>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5"/>
      <c r="E254" s="427"/>
      <c r="F254" s="312"/>
      <c r="G254" s="77"/>
      <c r="H254" s="428"/>
      <c r="I254" s="428"/>
      <c r="J254" s="427"/>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5"/>
      <c r="E255" s="427"/>
      <c r="F255" s="312"/>
      <c r="G255" s="77"/>
      <c r="H255" s="428"/>
      <c r="I255" s="428"/>
      <c r="J255" s="427"/>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5"/>
      <c r="E256" s="427"/>
      <c r="F256" s="312"/>
      <c r="G256" s="77"/>
      <c r="H256" s="428"/>
      <c r="I256" s="428"/>
      <c r="J256" s="427"/>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5"/>
      <c r="E257" s="427"/>
      <c r="F257" s="312"/>
      <c r="G257" s="77"/>
      <c r="H257" s="428"/>
      <c r="I257" s="428"/>
      <c r="J257" s="427"/>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5"/>
      <c r="E258" s="427"/>
      <c r="F258" s="312"/>
      <c r="G258" s="77"/>
      <c r="H258" s="428"/>
      <c r="I258" s="428"/>
      <c r="J258" s="427"/>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5"/>
      <c r="E259" s="427"/>
      <c r="F259" s="312"/>
      <c r="G259" s="77"/>
      <c r="H259" s="428"/>
      <c r="I259" s="428"/>
      <c r="J259" s="427"/>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5"/>
      <c r="E260" s="427"/>
      <c r="F260" s="312"/>
      <c r="G260" s="77"/>
      <c r="H260" s="428"/>
      <c r="I260" s="428"/>
      <c r="J260" s="427"/>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2" zoomScale="70" zoomScaleNormal="70" zoomScalePageLayoutView="68" workbookViewId="0">
      <selection activeCell="M10" sqref="M10"/>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9"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x14ac:dyDescent="0.2">
      <c r="A3" s="346" t="str">
        <f>IF(ISBLANK(departament),"","Departamentul " &amp; departament)</f>
        <v>Departamentul Electronică Aplicată</v>
      </c>
      <c r="E3" s="61"/>
      <c r="F3" s="61"/>
      <c r="J3" s="289"/>
      <c r="K3" s="289"/>
      <c r="L3" s="289"/>
      <c r="M3" s="289"/>
      <c r="R3" s="289"/>
      <c r="S3" s="289"/>
      <c r="T3" s="289"/>
    </row>
    <row r="4" spans="1:22" x14ac:dyDescent="0.25">
      <c r="A4" s="559" t="s">
        <v>905</v>
      </c>
      <c r="B4" s="559"/>
      <c r="C4" s="559"/>
      <c r="D4" s="559"/>
      <c r="E4" s="559"/>
      <c r="F4" s="559"/>
      <c r="G4" s="559"/>
      <c r="H4" s="559"/>
      <c r="I4" s="559"/>
      <c r="J4" s="559"/>
      <c r="K4" s="559"/>
      <c r="L4" s="559"/>
      <c r="M4" s="559"/>
      <c r="N4" s="559"/>
      <c r="P4" s="306"/>
      <c r="R4" s="64"/>
      <c r="S4" s="64"/>
      <c r="T4" s="64"/>
    </row>
    <row r="5" spans="1:22" ht="44.25" customHeight="1" x14ac:dyDescent="0.25">
      <c r="A5" s="565" t="s">
        <v>1019</v>
      </c>
      <c r="B5" s="565"/>
      <c r="C5" s="565"/>
      <c r="D5" s="565"/>
      <c r="E5" s="565"/>
      <c r="F5" s="565"/>
      <c r="G5" s="565"/>
      <c r="H5" s="565"/>
      <c r="I5" s="565"/>
      <c r="J5" s="565"/>
      <c r="K5" s="565"/>
      <c r="L5" s="565"/>
      <c r="M5" s="565"/>
      <c r="N5" s="565"/>
      <c r="O5" s="33"/>
      <c r="P5" s="33"/>
      <c r="Q5" s="33"/>
      <c r="R5" s="33"/>
      <c r="S5" s="33"/>
      <c r="T5" s="33"/>
      <c r="U5" s="33"/>
      <c r="V5" s="33"/>
    </row>
    <row r="6" spans="1:22" ht="16.5" thickBot="1" x14ac:dyDescent="0.3">
      <c r="N6" s="347" t="str">
        <f>CONCATENATE(functie," ",nume_candidat)</f>
        <v>Profesor Lascu Dan</v>
      </c>
    </row>
    <row r="7" spans="1:22" ht="15.75" customHeight="1" x14ac:dyDescent="0.25">
      <c r="A7" s="603" t="s">
        <v>338</v>
      </c>
      <c r="B7" s="556" t="s">
        <v>542</v>
      </c>
      <c r="C7" s="597" t="s">
        <v>63</v>
      </c>
      <c r="D7" s="605" t="s">
        <v>61</v>
      </c>
      <c r="E7" s="597" t="s">
        <v>37</v>
      </c>
      <c r="F7" s="599" t="s">
        <v>2</v>
      </c>
      <c r="G7" s="611" t="s">
        <v>1075</v>
      </c>
      <c r="H7" s="607" t="s">
        <v>1063</v>
      </c>
      <c r="I7" s="608"/>
      <c r="J7" s="609"/>
      <c r="K7" s="593" t="s">
        <v>1064</v>
      </c>
      <c r="L7" s="594"/>
      <c r="M7" s="595" t="s">
        <v>544</v>
      </c>
      <c r="N7" s="610" t="s">
        <v>62</v>
      </c>
      <c r="O7" s="601" t="s">
        <v>39</v>
      </c>
      <c r="P7" s="563" t="s">
        <v>541</v>
      </c>
      <c r="Q7" s="566" t="s">
        <v>551</v>
      </c>
      <c r="R7" s="595" t="s">
        <v>544</v>
      </c>
      <c r="S7" s="595" t="s">
        <v>544</v>
      </c>
      <c r="T7" s="595" t="s">
        <v>544</v>
      </c>
    </row>
    <row r="8" spans="1:22" s="316" customFormat="1" ht="236.25" customHeight="1" thickBot="1" x14ac:dyDescent="0.3">
      <c r="A8" s="604"/>
      <c r="B8" s="556"/>
      <c r="C8" s="598"/>
      <c r="D8" s="606"/>
      <c r="E8" s="598"/>
      <c r="F8" s="600"/>
      <c r="G8" s="612"/>
      <c r="H8" s="406" t="s">
        <v>1065</v>
      </c>
      <c r="I8" s="407" t="s">
        <v>1066</v>
      </c>
      <c r="J8" s="315" t="s">
        <v>334</v>
      </c>
      <c r="K8" s="315" t="s">
        <v>1067</v>
      </c>
      <c r="L8" s="416" t="s">
        <v>1073</v>
      </c>
      <c r="M8" s="596"/>
      <c r="N8" s="585"/>
      <c r="O8" s="602"/>
      <c r="P8" s="563"/>
      <c r="Q8" s="566"/>
      <c r="R8" s="596"/>
      <c r="S8" s="596"/>
      <c r="T8" s="596"/>
    </row>
    <row r="9" spans="1:22" ht="16.5" thickBot="1" x14ac:dyDescent="0.3">
      <c r="A9" s="317"/>
      <c r="B9" s="318"/>
      <c r="C9" s="319"/>
      <c r="D9" s="320"/>
      <c r="E9" s="317"/>
      <c r="F9" s="321"/>
      <c r="G9" s="322"/>
      <c r="H9" s="323"/>
      <c r="I9" s="321"/>
      <c r="J9" s="324"/>
      <c r="K9" s="321"/>
      <c r="L9" s="321"/>
      <c r="M9" s="362">
        <f>SUMIF(M10:M1010,"&gt;0")</f>
        <v>33.944966178498717</v>
      </c>
      <c r="N9" s="325"/>
      <c r="O9" s="358">
        <f>SUMIF(O10:O1310,"&gt;0")</f>
        <v>5657.4943630831194</v>
      </c>
      <c r="P9" s="326"/>
      <c r="Q9" s="4">
        <f>SUM(Q10:Q1310)</f>
        <v>301</v>
      </c>
      <c r="R9" s="362">
        <f>SUM(R10:R1310)</f>
        <v>33.944966178498717</v>
      </c>
      <c r="S9" s="362">
        <f>SUM(S10:S1310)</f>
        <v>0</v>
      </c>
      <c r="T9" s="362">
        <f>SUM(T10:T1310)</f>
        <v>0</v>
      </c>
    </row>
    <row r="10" spans="1:22" s="85" customFormat="1" ht="111" thickBot="1" x14ac:dyDescent="0.3">
      <c r="A10" s="28">
        <v>1</v>
      </c>
      <c r="B10" s="519" t="s">
        <v>1235</v>
      </c>
      <c r="C10" s="518" t="s">
        <v>1396</v>
      </c>
      <c r="D10" s="519" t="s">
        <v>1397</v>
      </c>
      <c r="E10" s="519" t="s">
        <v>1397</v>
      </c>
      <c r="F10" s="519">
        <v>2017</v>
      </c>
      <c r="G10" s="519">
        <v>25844</v>
      </c>
      <c r="H10" s="519"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33.944966178498717</v>
      </c>
      <c r="N10" s="328"/>
      <c r="O10" s="359">
        <f>IF(OR($B10="",$C10="",$D10="",$E10="",$F10=""),"",$G10/VLOOKUP($F10,Euro!$A:$C,3,FALSE))</f>
        <v>5657.4943630831194</v>
      </c>
      <c r="P10" s="360" t="b">
        <f t="shared" ref="P10:P74" si="1">IF(nume_candidat="",FALSE,ISNUMBER(SEARCH(nume_candidat,$B10)))</f>
        <v>1</v>
      </c>
      <c r="Q10" s="361">
        <f t="shared" ref="Q10:Q41" si="2">LEN(B10)-LEN(SUBSTITUTE(B10,",",""))+1</f>
        <v>1</v>
      </c>
      <c r="R10" s="363">
        <f t="shared" ref="R10:R73" si="3">IF(
OR(
$B10="",$C10="",$E10="",$F10="",$F10&lt;an_initial,$F10&gt;an_final,$P10=FALSE),"",IF(
$G10="","",IF(
OR(
$H10="X",$H10="x"),60*$O10/10000,"")))</f>
        <v>33.944966178498717</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x14ac:dyDescent="0.3">
      <c r="A11" s="28" t="s">
        <v>24</v>
      </c>
      <c r="B11" s="152"/>
      <c r="C11" s="153"/>
      <c r="D11" s="162"/>
      <c r="E11" s="404"/>
      <c r="F11" s="408"/>
      <c r="G11" s="327"/>
      <c r="H11" s="25"/>
      <c r="I11" s="402"/>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x14ac:dyDescent="0.3">
      <c r="A12" s="28" t="s">
        <v>25</v>
      </c>
      <c r="B12" s="152"/>
      <c r="C12" s="17"/>
      <c r="D12" s="162"/>
      <c r="E12" s="18"/>
      <c r="F12" s="403"/>
      <c r="G12" s="327"/>
      <c r="H12" s="23"/>
      <c r="I12" s="401"/>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x14ac:dyDescent="0.3">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x14ac:dyDescent="0.3">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25">
      <c r="A15" s="28">
        <v>5</v>
      </c>
      <c r="B15" s="152"/>
      <c r="C15" s="17"/>
      <c r="D15" s="162"/>
      <c r="E15" s="18"/>
      <c r="F15" s="408"/>
      <c r="G15" s="327"/>
      <c r="H15" s="23"/>
      <c r="I15" s="417"/>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7"/>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7"/>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7"/>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7"/>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7"/>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7"/>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7"/>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7"/>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7"/>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7"/>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7"/>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7"/>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7"/>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7"/>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7"/>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7"/>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7"/>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7"/>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7"/>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7"/>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7"/>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7"/>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7"/>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7"/>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7"/>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7"/>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7"/>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7"/>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7"/>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7"/>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7"/>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7"/>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7"/>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7"/>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7"/>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7"/>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7"/>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7"/>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7"/>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7"/>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7"/>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7"/>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7"/>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7"/>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7"/>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7"/>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7"/>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7"/>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7"/>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7"/>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7"/>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7"/>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7"/>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H11" sqref="H11"/>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Electronică și Telecomunicații</v>
      </c>
      <c r="C2" s="61"/>
      <c r="D2" s="63"/>
    </row>
    <row r="3" spans="1:4" s="60" customFormat="1" x14ac:dyDescent="0.2">
      <c r="A3" s="346" t="str">
        <f>IF(ISBLANK(departament),"","Departamentul " &amp; departament)</f>
        <v>Departamentul Electronică Aplicată</v>
      </c>
      <c r="C3" s="61"/>
      <c r="D3" s="63"/>
    </row>
    <row r="4" spans="1:4" x14ac:dyDescent="0.25">
      <c r="A4" s="559" t="s">
        <v>905</v>
      </c>
      <c r="B4" s="559"/>
      <c r="C4" s="559"/>
      <c r="D4" s="559"/>
    </row>
    <row r="5" spans="1:4" ht="42.75" customHeight="1" x14ac:dyDescent="0.25">
      <c r="A5" s="565" t="s">
        <v>1060</v>
      </c>
      <c r="B5" s="559"/>
      <c r="C5" s="559"/>
      <c r="D5" s="559"/>
    </row>
    <row r="6" spans="1:4" ht="13.5" customHeight="1" x14ac:dyDescent="0.25">
      <c r="D6" s="347" t="str">
        <f>CONCATENATE(functie," ",nume_candidat)</f>
        <v>Profesor Lascu Dan</v>
      </c>
    </row>
    <row r="7" spans="1:4" s="33" customFormat="1" ht="15.75" customHeight="1" x14ac:dyDescent="0.2">
      <c r="A7" s="556" t="s">
        <v>338</v>
      </c>
      <c r="B7" s="613" t="str">
        <f>CONCATENATE("Tip Citare din ultimii ",durata_evaluare," ani")</f>
        <v>Tip Citare din ultimii 5 ani</v>
      </c>
      <c r="C7" s="557" t="s">
        <v>14</v>
      </c>
      <c r="D7" s="557" t="s">
        <v>544</v>
      </c>
    </row>
    <row r="8" spans="1:4" s="33" customFormat="1" ht="31.5" customHeight="1" x14ac:dyDescent="0.2">
      <c r="A8" s="556"/>
      <c r="B8" s="613"/>
      <c r="C8" s="558"/>
      <c r="D8" s="558"/>
    </row>
    <row r="9" spans="1:4" s="33" customFormat="1" x14ac:dyDescent="0.2">
      <c r="A9" s="88"/>
      <c r="B9" s="65"/>
      <c r="C9" s="162"/>
      <c r="D9" s="148">
        <f>SUMIF(D10:D12,"&gt;0")</f>
        <v>915</v>
      </c>
    </row>
    <row r="10" spans="1:4" s="79" customFormat="1" x14ac:dyDescent="0.25">
      <c r="A10" s="37">
        <v>1</v>
      </c>
      <c r="B10" s="13" t="s">
        <v>714</v>
      </c>
      <c r="C10" s="381">
        <v>22</v>
      </c>
      <c r="D10" s="16">
        <f>C10 * (HLOOKUP(B10,ii3punctaje,2,FALSE))</f>
        <v>220</v>
      </c>
    </row>
    <row r="11" spans="1:4" s="33" customFormat="1" x14ac:dyDescent="0.2">
      <c r="A11" s="37">
        <v>2</v>
      </c>
      <c r="B11" s="7" t="s">
        <v>715</v>
      </c>
      <c r="C11" s="381">
        <v>37</v>
      </c>
      <c r="D11" s="382">
        <f>C11 * (HLOOKUP(B11,ii3punctaje,2,FALSE))</f>
        <v>296</v>
      </c>
    </row>
    <row r="12" spans="1:4" s="33" customFormat="1" x14ac:dyDescent="0.2">
      <c r="A12" s="37">
        <v>3</v>
      </c>
      <c r="B12" s="196" t="s">
        <v>716</v>
      </c>
      <c r="C12" s="381">
        <v>133</v>
      </c>
      <c r="D12" s="382">
        <f>C12 * (HLOOKUP(B12,ii3punctaje,2,FALSE))</f>
        <v>399</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topLeftCell="A4" zoomScaleNormal="100" workbookViewId="0">
      <selection activeCell="C27" sqref="C27"/>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Electronică Aplicată</v>
      </c>
      <c r="E3" s="61"/>
      <c r="F3" s="63"/>
      <c r="G3" s="62"/>
      <c r="H3" s="289"/>
    </row>
    <row r="4" spans="1:8" s="64" customFormat="1" ht="15.75" x14ac:dyDescent="0.25">
      <c r="B4" s="290"/>
      <c r="C4" s="290" t="s">
        <v>905</v>
      </c>
      <c r="D4" s="290"/>
      <c r="E4" s="290"/>
      <c r="F4" s="290"/>
      <c r="G4" s="226"/>
      <c r="H4" s="291"/>
    </row>
    <row r="5" spans="1:8" s="64" customFormat="1" ht="15.75" x14ac:dyDescent="0.25">
      <c r="B5" s="290"/>
      <c r="C5" s="290" t="s">
        <v>929</v>
      </c>
      <c r="D5" s="290"/>
      <c r="E5" s="290"/>
      <c r="F5" s="290"/>
      <c r="G5" s="226"/>
      <c r="H5" s="71"/>
    </row>
    <row r="6" spans="1:8" s="64" customFormat="1" ht="13.5" customHeight="1" x14ac:dyDescent="0.25">
      <c r="A6" s="60"/>
      <c r="D6" s="347" t="str">
        <f>CONCATENATE(functie," ",nume_candidat)</f>
        <v>Profesor Lascu Dan</v>
      </c>
      <c r="G6" s="70"/>
      <c r="H6" s="71"/>
    </row>
    <row r="7" spans="1:8" ht="15" customHeight="1" x14ac:dyDescent="0.25">
      <c r="B7" s="567" t="s">
        <v>930</v>
      </c>
      <c r="C7" s="567" t="s">
        <v>931</v>
      </c>
      <c r="D7" s="557" t="s">
        <v>544</v>
      </c>
    </row>
    <row r="8" spans="1:8" ht="15" customHeight="1" x14ac:dyDescent="0.25">
      <c r="B8" s="568"/>
      <c r="C8" s="568"/>
      <c r="D8" s="574"/>
    </row>
    <row r="9" spans="1:8" ht="15" customHeight="1" x14ac:dyDescent="0.25">
      <c r="B9" s="568"/>
      <c r="C9" s="568"/>
      <c r="D9" s="574"/>
    </row>
    <row r="10" spans="1:8" ht="15.75" customHeight="1" x14ac:dyDescent="0.25">
      <c r="B10" s="569"/>
      <c r="C10" s="569"/>
      <c r="D10" s="558"/>
    </row>
    <row r="11" spans="1:8" ht="15.75" x14ac:dyDescent="0.25">
      <c r="B11" s="37" t="s">
        <v>718</v>
      </c>
      <c r="C11" s="37">
        <v>3</v>
      </c>
      <c r="D11" s="351">
        <f>C11*200</f>
        <v>600</v>
      </c>
    </row>
    <row r="12" spans="1:8" ht="15.75" x14ac:dyDescent="0.25">
      <c r="B12" s="37" t="s">
        <v>719</v>
      </c>
      <c r="C12" s="37">
        <v>5</v>
      </c>
      <c r="D12" s="351">
        <f>C12*160</f>
        <v>800</v>
      </c>
    </row>
    <row r="13" spans="1:8" ht="15.75" x14ac:dyDescent="0.25">
      <c r="B13" s="37" t="s">
        <v>720</v>
      </c>
      <c r="C13" s="37">
        <v>8</v>
      </c>
      <c r="D13" s="351">
        <f>C13*60</f>
        <v>480</v>
      </c>
    </row>
    <row r="14" spans="1:8" ht="15.75" x14ac:dyDescent="0.25">
      <c r="B14" s="614" t="s">
        <v>932</v>
      </c>
      <c r="C14" s="615"/>
      <c r="D14" s="351">
        <f>SUM(D11:D13)</f>
        <v>1880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E21" sqref="E21"/>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616" t="s">
        <v>450</v>
      </c>
      <c r="B2" s="616"/>
      <c r="D2" s="61"/>
      <c r="E2" s="61"/>
      <c r="F2" s="63"/>
    </row>
    <row r="3" spans="1:6" x14ac:dyDescent="0.25">
      <c r="A3" s="617" t="s">
        <v>905</v>
      </c>
      <c r="B3" s="617"/>
      <c r="C3" s="617"/>
      <c r="D3" s="617"/>
      <c r="E3" s="617"/>
      <c r="F3" s="617"/>
    </row>
    <row r="4" spans="1:6" x14ac:dyDescent="0.25">
      <c r="A4" s="559" t="s">
        <v>933</v>
      </c>
      <c r="B4" s="559"/>
      <c r="C4" s="559"/>
      <c r="D4" s="559"/>
      <c r="E4" s="559"/>
      <c r="F4" s="559"/>
    </row>
    <row r="5" spans="1:6" x14ac:dyDescent="0.25">
      <c r="C5" s="64"/>
    </row>
    <row r="6" spans="1:6" s="60" customFormat="1" ht="13.5" customHeight="1" x14ac:dyDescent="0.25">
      <c r="A6" s="64"/>
      <c r="B6" s="316"/>
      <c r="C6" s="82"/>
      <c r="D6" s="64"/>
      <c r="E6" s="64"/>
      <c r="F6" s="347" t="str">
        <f>CONCATENATE(functie," ",nume_candidat)</f>
        <v>Profesor Lascu Dan</v>
      </c>
    </row>
    <row r="7" spans="1:6" ht="15" customHeight="1" x14ac:dyDescent="0.25">
      <c r="A7" s="556" t="s">
        <v>338</v>
      </c>
      <c r="B7" s="556" t="s">
        <v>1031</v>
      </c>
      <c r="C7" s="556" t="s">
        <v>2</v>
      </c>
      <c r="D7" s="556" t="s">
        <v>460</v>
      </c>
      <c r="E7" s="556" t="s">
        <v>814</v>
      </c>
      <c r="F7" s="557" t="s">
        <v>544</v>
      </c>
    </row>
    <row r="8" spans="1:6" x14ac:dyDescent="0.25">
      <c r="A8" s="556"/>
      <c r="B8" s="556"/>
      <c r="C8" s="556"/>
      <c r="D8" s="556"/>
      <c r="E8" s="556"/>
      <c r="F8" s="558"/>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(INDEX(ii511punctaje, MATCH(D10,ii511anvergură,0), MATCH(E10,ii511rol,0)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16" t="s">
        <v>450</v>
      </c>
      <c r="B2" s="616"/>
      <c r="C2" s="62"/>
      <c r="D2" s="61"/>
      <c r="E2" s="61"/>
      <c r="F2" s="63"/>
    </row>
    <row r="3" spans="1:6" x14ac:dyDescent="0.25">
      <c r="A3" s="617" t="s">
        <v>905</v>
      </c>
      <c r="B3" s="617"/>
      <c r="C3" s="617"/>
      <c r="D3" s="617"/>
      <c r="E3" s="617"/>
      <c r="F3" s="617"/>
    </row>
    <row r="4" spans="1:6" ht="68.25" customHeight="1" x14ac:dyDescent="0.25">
      <c r="A4" s="565" t="s">
        <v>938</v>
      </c>
      <c r="B4" s="565"/>
      <c r="C4" s="565"/>
      <c r="D4" s="565"/>
      <c r="E4" s="565"/>
      <c r="F4" s="565"/>
    </row>
    <row r="6" spans="1:6" s="60" customFormat="1" ht="13.5" customHeight="1" x14ac:dyDescent="0.25">
      <c r="A6" s="64"/>
      <c r="B6" s="64"/>
      <c r="C6" s="392"/>
      <c r="D6" s="64"/>
      <c r="E6" s="64"/>
      <c r="F6" s="347" t="str">
        <f>CONCATENATE(functie," ",nume_candidat)</f>
        <v>Profesor Lascu Dan</v>
      </c>
    </row>
    <row r="7" spans="1:6" ht="15" customHeight="1" x14ac:dyDescent="0.25">
      <c r="A7" s="556" t="s">
        <v>338</v>
      </c>
      <c r="B7" s="556" t="s">
        <v>1031</v>
      </c>
      <c r="C7" s="556" t="s">
        <v>2</v>
      </c>
      <c r="D7" s="556" t="s">
        <v>460</v>
      </c>
      <c r="E7" s="556" t="s">
        <v>814</v>
      </c>
      <c r="F7" s="557" t="s">
        <v>544</v>
      </c>
    </row>
    <row r="8" spans="1:6" x14ac:dyDescent="0.25">
      <c r="A8" s="556"/>
      <c r="B8" s="556"/>
      <c r="C8" s="556"/>
      <c r="D8" s="556"/>
      <c r="E8" s="556"/>
      <c r="F8" s="558"/>
    </row>
    <row r="9" spans="1:6" x14ac:dyDescent="0.25">
      <c r="A9" s="88"/>
      <c r="B9" s="65"/>
      <c r="C9" s="162"/>
      <c r="D9" s="74"/>
      <c r="E9" s="74"/>
      <c r="F9" s="148">
        <f>SUMIF(F10:F1010,"&gt;0")</f>
        <v>0</v>
      </c>
    </row>
    <row r="10" spans="1:6" x14ac:dyDescent="0.25">
      <c r="A10" s="5">
        <v>1</v>
      </c>
      <c r="B10" s="6"/>
      <c r="C10" s="390"/>
      <c r="D10" s="6"/>
      <c r="E10" s="6"/>
      <c r="F10" s="16" t="str">
        <f t="shared" ref="F10:F73" si="0">IF(OR($B10="",$C10="",$C10&lt;an_initial,$C10&gt;an_final,),"",
 (INDEX(ii512punctaje, MATCH(D10,ii512anvergură,0), MATCH(E10,ii512rol,0) ))
)</f>
        <v/>
      </c>
    </row>
    <row r="11" spans="1:6" s="80" customFormat="1" x14ac:dyDescent="0.25">
      <c r="A11" s="5">
        <v>2</v>
      </c>
      <c r="B11" s="6"/>
      <c r="C11" s="390"/>
      <c r="D11" s="6"/>
      <c r="E11" s="6"/>
      <c r="F11" s="16" t="str">
        <f t="shared" si="0"/>
        <v/>
      </c>
    </row>
    <row r="12" spans="1:6" x14ac:dyDescent="0.25">
      <c r="A12" s="5">
        <v>3</v>
      </c>
      <c r="B12" s="6"/>
      <c r="C12" s="390"/>
      <c r="D12" s="6"/>
      <c r="E12" s="6"/>
      <c r="F12" s="16" t="str">
        <f t="shared" si="0"/>
        <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43" zoomScale="70" zoomScaleNormal="70" workbookViewId="0">
      <selection activeCell="E170" sqref="E170"/>
    </sheetView>
  </sheetViews>
  <sheetFormatPr defaultColWidth="9.140625" defaultRowHeight="15" x14ac:dyDescent="0.25"/>
  <cols>
    <col min="1" max="1" width="6.85546875" style="287" customWidth="1"/>
    <col min="2" max="2" width="104.42578125" style="231" customWidth="1"/>
    <col min="3" max="3" width="20" style="455" customWidth="1"/>
    <col min="4" max="4" width="15.85546875" style="498" customWidth="1"/>
    <col min="5" max="5" width="93.7109375" style="231" bestFit="1" customWidth="1"/>
    <col min="6" max="16384" width="9.140625" style="231"/>
  </cols>
  <sheetData>
    <row r="1" spans="1:6" s="224" customFormat="1" x14ac:dyDescent="0.25">
      <c r="A1" s="221" t="s">
        <v>483</v>
      </c>
      <c r="B1" s="222"/>
      <c r="C1" s="441"/>
      <c r="D1" s="469"/>
      <c r="E1" s="223"/>
      <c r="F1" s="223"/>
    </row>
    <row r="2" spans="1:6" s="224" customFormat="1" ht="14.45" x14ac:dyDescent="0.3">
      <c r="A2" s="159" t="str">
        <f>IF(ISBLANK(facultate), IF(ISBLANK(departament),"","Departament " &amp; departament), "Facultatea " &amp; facultate)</f>
        <v>Facultatea Electronică și Telecomunicații</v>
      </c>
      <c r="B2" s="222"/>
      <c r="C2" s="441"/>
      <c r="D2" s="469"/>
      <c r="E2" s="223"/>
      <c r="F2" s="223"/>
    </row>
    <row r="3" spans="1:6" s="224" customFormat="1" ht="14.45" x14ac:dyDescent="0.3">
      <c r="A3" s="159" t="str">
        <f>IF(ISBLANK(departament),"","Departamentul " &amp; departament)</f>
        <v>Departamentul Electronică Aplicată</v>
      </c>
      <c r="B3" s="222"/>
      <c r="C3" s="441"/>
      <c r="D3" s="469"/>
      <c r="E3" s="223"/>
      <c r="F3" s="223"/>
    </row>
    <row r="4" spans="1:6" s="226" customFormat="1" ht="15.6" x14ac:dyDescent="0.3">
      <c r="A4" s="225"/>
      <c r="B4" s="225"/>
      <c r="C4" s="288" t="str">
        <f>CONCATENATE(functie," ",nume_candidat)</f>
        <v>Profesor Lascu Dan</v>
      </c>
      <c r="D4" s="470"/>
    </row>
    <row r="5" spans="1:6" ht="15.75" x14ac:dyDescent="0.25">
      <c r="A5" s="227" t="s">
        <v>605</v>
      </c>
      <c r="B5" s="228" t="s">
        <v>681</v>
      </c>
      <c r="C5" s="442"/>
      <c r="D5" s="471" t="s">
        <v>605</v>
      </c>
      <c r="E5" s="230"/>
    </row>
    <row r="6" spans="1:6" ht="30" customHeight="1" x14ac:dyDescent="0.25">
      <c r="A6" s="232">
        <v>1</v>
      </c>
      <c r="B6" s="233" t="s">
        <v>682</v>
      </c>
      <c r="C6" s="443">
        <f>I.1!L9</f>
        <v>0</v>
      </c>
      <c r="D6" s="472">
        <v>100</v>
      </c>
      <c r="E6" s="234" t="s">
        <v>683</v>
      </c>
    </row>
    <row r="7" spans="1:6" ht="30" customHeight="1" x14ac:dyDescent="0.25">
      <c r="A7" s="235">
        <v>2</v>
      </c>
      <c r="B7" s="236" t="s">
        <v>1086</v>
      </c>
      <c r="C7" s="444">
        <f>SUM(C8,C14,C20,C23)</f>
        <v>90</v>
      </c>
      <c r="D7" s="473" t="s">
        <v>605</v>
      </c>
      <c r="E7" s="237"/>
    </row>
    <row r="8" spans="1:6" ht="30" customHeight="1" x14ac:dyDescent="0.25">
      <c r="A8" s="232">
        <v>2.1</v>
      </c>
      <c r="B8" s="233" t="s">
        <v>787</v>
      </c>
      <c r="C8" s="445">
        <f>SUM(C9:C13)</f>
        <v>40</v>
      </c>
      <c r="D8" s="474" t="s">
        <v>605</v>
      </c>
      <c r="E8" s="234" t="s">
        <v>605</v>
      </c>
    </row>
    <row r="9" spans="1:6" ht="30" customHeight="1" x14ac:dyDescent="0.25">
      <c r="A9" s="238" t="s">
        <v>326</v>
      </c>
      <c r="B9" s="239" t="s">
        <v>788</v>
      </c>
      <c r="C9" s="446">
        <f>'I.2.1a'!$I$9</f>
        <v>0</v>
      </c>
      <c r="D9" s="431" t="s">
        <v>684</v>
      </c>
      <c r="E9" s="539" t="s">
        <v>1085</v>
      </c>
    </row>
    <row r="10" spans="1:6" ht="30" customHeight="1" x14ac:dyDescent="0.25">
      <c r="A10" s="240" t="s">
        <v>327</v>
      </c>
      <c r="B10" s="234" t="s">
        <v>789</v>
      </c>
      <c r="C10" s="446">
        <f>'I.2.1b'!$I$9</f>
        <v>0</v>
      </c>
      <c r="D10" s="474" t="s">
        <v>685</v>
      </c>
      <c r="E10" s="540"/>
    </row>
    <row r="11" spans="1:6" ht="30" customHeight="1" x14ac:dyDescent="0.25">
      <c r="A11" s="240" t="s">
        <v>651</v>
      </c>
      <c r="B11" s="234" t="s">
        <v>790</v>
      </c>
      <c r="C11" s="446">
        <f>'I.2.1c'!$I$9</f>
        <v>0</v>
      </c>
      <c r="D11" s="474" t="s">
        <v>686</v>
      </c>
      <c r="E11" s="540"/>
    </row>
    <row r="12" spans="1:6" ht="45" x14ac:dyDescent="0.25">
      <c r="A12" s="240" t="s">
        <v>662</v>
      </c>
      <c r="B12" s="234" t="s">
        <v>791</v>
      </c>
      <c r="C12" s="446">
        <f>'I.2.1d'!$I$9</f>
        <v>40</v>
      </c>
      <c r="D12" s="474" t="s">
        <v>687</v>
      </c>
      <c r="E12" s="540"/>
    </row>
    <row r="13" spans="1:6" ht="30" customHeight="1" x14ac:dyDescent="0.25">
      <c r="A13" s="240" t="s">
        <v>663</v>
      </c>
      <c r="B13" s="234" t="s">
        <v>803</v>
      </c>
      <c r="C13" s="446">
        <f>'I.2.1e'!$I$9</f>
        <v>0</v>
      </c>
      <c r="D13" s="474" t="s">
        <v>688</v>
      </c>
      <c r="E13" s="540"/>
    </row>
    <row r="14" spans="1:6" ht="30" customHeight="1" x14ac:dyDescent="0.25">
      <c r="A14" s="232">
        <v>2.2000000000000002</v>
      </c>
      <c r="B14" s="241" t="s">
        <v>675</v>
      </c>
      <c r="C14" s="447">
        <f>SUM(C15:C19)</f>
        <v>0</v>
      </c>
      <c r="D14" s="474" t="s">
        <v>605</v>
      </c>
      <c r="E14" s="540"/>
    </row>
    <row r="15" spans="1:6" ht="30" customHeight="1" x14ac:dyDescent="0.25">
      <c r="A15" s="240" t="s">
        <v>670</v>
      </c>
      <c r="B15" s="234" t="s">
        <v>676</v>
      </c>
      <c r="C15" s="446">
        <f>'I.2.2a'!$I$9</f>
        <v>0</v>
      </c>
      <c r="D15" s="474" t="s">
        <v>689</v>
      </c>
      <c r="E15" s="540"/>
    </row>
    <row r="16" spans="1:6" ht="30" customHeight="1" x14ac:dyDescent="0.25">
      <c r="A16" s="240" t="s">
        <v>671</v>
      </c>
      <c r="B16" s="242" t="s">
        <v>677</v>
      </c>
      <c r="C16" s="446">
        <f>'I.2.2b'!$I$9</f>
        <v>0</v>
      </c>
      <c r="D16" s="474" t="s">
        <v>690</v>
      </c>
      <c r="E16" s="540"/>
    </row>
    <row r="17" spans="1:5" ht="30" customHeight="1" x14ac:dyDescent="0.25">
      <c r="A17" s="240" t="s">
        <v>672</v>
      </c>
      <c r="B17" s="242" t="s">
        <v>678</v>
      </c>
      <c r="C17" s="446">
        <f>'I.2.2c'!$I$9</f>
        <v>0</v>
      </c>
      <c r="D17" s="474" t="s">
        <v>691</v>
      </c>
      <c r="E17" s="540"/>
    </row>
    <row r="18" spans="1:5" ht="30" customHeight="1" x14ac:dyDescent="0.25">
      <c r="A18" s="240" t="s">
        <v>673</v>
      </c>
      <c r="B18" s="234" t="s">
        <v>679</v>
      </c>
      <c r="C18" s="446">
        <f>'I.2.2d'!$I$9</f>
        <v>0</v>
      </c>
      <c r="D18" s="474" t="s">
        <v>692</v>
      </c>
      <c r="E18" s="540"/>
    </row>
    <row r="19" spans="1:5" ht="30" customHeight="1" x14ac:dyDescent="0.25">
      <c r="A19" s="240" t="s">
        <v>674</v>
      </c>
      <c r="B19" s="234" t="s">
        <v>680</v>
      </c>
      <c r="C19" s="446">
        <f>'I.2.2e'!$I$9</f>
        <v>0</v>
      </c>
      <c r="D19" s="474" t="s">
        <v>693</v>
      </c>
      <c r="E19" s="540"/>
    </row>
    <row r="20" spans="1:5" ht="30" customHeight="1" x14ac:dyDescent="0.25">
      <c r="A20" s="232">
        <v>2.2999999999999998</v>
      </c>
      <c r="B20" s="233" t="s">
        <v>804</v>
      </c>
      <c r="C20" s="445">
        <f>SUM(C21:C22)</f>
        <v>0</v>
      </c>
      <c r="D20" s="474" t="s">
        <v>605</v>
      </c>
      <c r="E20" s="540"/>
    </row>
    <row r="21" spans="1:5" ht="30" customHeight="1" x14ac:dyDescent="0.25">
      <c r="A21" s="240" t="s">
        <v>694</v>
      </c>
      <c r="B21" s="234" t="s">
        <v>805</v>
      </c>
      <c r="C21" s="445">
        <f>'I.2.3a'!I9</f>
        <v>0</v>
      </c>
      <c r="D21" s="474" t="s">
        <v>695</v>
      </c>
      <c r="E21" s="540"/>
    </row>
    <row r="22" spans="1:5" ht="30" customHeight="1" x14ac:dyDescent="0.25">
      <c r="A22" s="240" t="s">
        <v>696</v>
      </c>
      <c r="B22" s="234" t="s">
        <v>806</v>
      </c>
      <c r="C22" s="445">
        <f>'I.2.3b'!I9</f>
        <v>0</v>
      </c>
      <c r="D22" s="474" t="s">
        <v>688</v>
      </c>
      <c r="E22" s="541"/>
    </row>
    <row r="23" spans="1:5" ht="30" customHeight="1" x14ac:dyDescent="0.25">
      <c r="A23" s="232">
        <v>2.4</v>
      </c>
      <c r="B23" s="233" t="s">
        <v>697</v>
      </c>
      <c r="C23" s="443">
        <f>'I.2.4'!I9</f>
        <v>50</v>
      </c>
      <c r="D23" s="474" t="s">
        <v>698</v>
      </c>
      <c r="E23" s="233" t="s">
        <v>605</v>
      </c>
    </row>
    <row r="24" spans="1:5" ht="105" x14ac:dyDescent="0.25">
      <c r="A24" s="235">
        <v>3</v>
      </c>
      <c r="B24" s="236" t="s">
        <v>1207</v>
      </c>
      <c r="C24" s="448">
        <f>I.3!I11</f>
        <v>50</v>
      </c>
      <c r="D24" s="431" t="s">
        <v>1088</v>
      </c>
      <c r="E24" s="239" t="s">
        <v>1087</v>
      </c>
    </row>
    <row r="25" spans="1:5" ht="30" customHeight="1" x14ac:dyDescent="0.25">
      <c r="A25" s="232">
        <v>4</v>
      </c>
      <c r="B25" s="233" t="s">
        <v>699</v>
      </c>
      <c r="C25" s="445">
        <f>I.4!E11</f>
        <v>520</v>
      </c>
      <c r="D25" s="474">
        <v>10</v>
      </c>
      <c r="E25" s="234" t="s">
        <v>700</v>
      </c>
    </row>
    <row r="26" spans="1:5" ht="60" x14ac:dyDescent="0.25">
      <c r="A26" s="232">
        <v>5</v>
      </c>
      <c r="B26" s="233" t="s">
        <v>1084</v>
      </c>
      <c r="C26" s="445">
        <f>I.5!D11</f>
        <v>153.08000000000001</v>
      </c>
      <c r="D26" s="474" t="s">
        <v>1203</v>
      </c>
      <c r="E26" s="234" t="s">
        <v>605</v>
      </c>
    </row>
    <row r="27" spans="1:5" ht="60" x14ac:dyDescent="0.25">
      <c r="A27" s="235">
        <v>6</v>
      </c>
      <c r="B27" s="236" t="s">
        <v>1204</v>
      </c>
      <c r="C27" s="448">
        <f>I.6!F11</f>
        <v>0</v>
      </c>
      <c r="D27" s="432" t="s">
        <v>1090</v>
      </c>
      <c r="E27" s="239" t="s">
        <v>1089</v>
      </c>
    </row>
    <row r="28" spans="1:5" ht="45" x14ac:dyDescent="0.25">
      <c r="A28" s="235">
        <v>7</v>
      </c>
      <c r="B28" s="236" t="s">
        <v>1206</v>
      </c>
      <c r="C28" s="448">
        <f>I.7!F11</f>
        <v>0</v>
      </c>
      <c r="D28" s="475" t="s">
        <v>1092</v>
      </c>
      <c r="E28" s="239" t="s">
        <v>1091</v>
      </c>
    </row>
    <row r="29" spans="1:5" ht="60" x14ac:dyDescent="0.25">
      <c r="A29" s="232">
        <v>8</v>
      </c>
      <c r="B29" s="233" t="s">
        <v>1205</v>
      </c>
      <c r="C29" s="445">
        <f>I.8!E11</f>
        <v>0</v>
      </c>
      <c r="D29" s="431" t="s">
        <v>1093</v>
      </c>
      <c r="E29" s="239" t="s">
        <v>701</v>
      </c>
    </row>
    <row r="30" spans="1:5" ht="30" customHeight="1" x14ac:dyDescent="0.25">
      <c r="A30" s="235">
        <v>9</v>
      </c>
      <c r="B30" s="236" t="s">
        <v>702</v>
      </c>
      <c r="C30" s="448">
        <f>I.9!D11</f>
        <v>40</v>
      </c>
      <c r="D30" s="431" t="s">
        <v>703</v>
      </c>
      <c r="E30" s="239" t="s">
        <v>831</v>
      </c>
    </row>
    <row r="31" spans="1:5" x14ac:dyDescent="0.25">
      <c r="A31" s="243" t="s">
        <v>605</v>
      </c>
      <c r="B31" s="244" t="s">
        <v>704</v>
      </c>
      <c r="C31" s="456" t="s">
        <v>705</v>
      </c>
      <c r="D31" s="476" t="s">
        <v>605</v>
      </c>
      <c r="E31" s="245" t="s">
        <v>605</v>
      </c>
    </row>
    <row r="32" spans="1:5" x14ac:dyDescent="0.25">
      <c r="A32" s="246"/>
      <c r="B32" s="247" t="s">
        <v>605</v>
      </c>
      <c r="C32" s="457" t="s">
        <v>706</v>
      </c>
      <c r="D32" s="477"/>
      <c r="E32" s="248"/>
    </row>
    <row r="33" spans="1:5" x14ac:dyDescent="0.25">
      <c r="A33" s="246"/>
      <c r="B33" s="247" t="s">
        <v>707</v>
      </c>
      <c r="C33" s="457" t="s">
        <v>708</v>
      </c>
      <c r="D33" s="477"/>
      <c r="E33" s="248"/>
    </row>
    <row r="34" spans="1:5" x14ac:dyDescent="0.25">
      <c r="A34" s="249"/>
      <c r="B34" s="250"/>
      <c r="C34" s="458" t="s">
        <v>709</v>
      </c>
      <c r="D34" s="478"/>
      <c r="E34" s="250"/>
    </row>
    <row r="35" spans="1:5" ht="15.75" x14ac:dyDescent="0.25">
      <c r="A35" s="227" t="s">
        <v>605</v>
      </c>
      <c r="B35" s="228" t="s">
        <v>681</v>
      </c>
      <c r="C35" s="449">
        <f>SUM(C6,C7,C24,C25,C27,C26,C28,C29,C30)</f>
        <v>853.08</v>
      </c>
      <c r="D35" s="471" t="s">
        <v>605</v>
      </c>
      <c r="E35" s="229" t="s">
        <v>605</v>
      </c>
    </row>
    <row r="37" spans="1:5" ht="15.75" x14ac:dyDescent="0.25">
      <c r="A37" s="227" t="s">
        <v>605</v>
      </c>
      <c r="B37" s="228" t="s">
        <v>710</v>
      </c>
      <c r="C37" s="442"/>
      <c r="D37" s="479" t="s">
        <v>605</v>
      </c>
      <c r="E37" s="251"/>
    </row>
    <row r="38" spans="1:5" ht="15.75" x14ac:dyDescent="0.25">
      <c r="A38" s="252">
        <v>1</v>
      </c>
      <c r="B38" s="253" t="s">
        <v>792</v>
      </c>
      <c r="C38" s="448">
        <f>SUM(C39:C42)</f>
        <v>2251</v>
      </c>
      <c r="D38" s="276" t="s">
        <v>605</v>
      </c>
      <c r="E38" s="254" t="s">
        <v>711</v>
      </c>
    </row>
    <row r="39" spans="1:5" ht="105" x14ac:dyDescent="0.25">
      <c r="A39" s="255">
        <v>1.1000000000000001</v>
      </c>
      <c r="B39" s="433" t="s">
        <v>1094</v>
      </c>
      <c r="C39" s="448">
        <f>'II1.1BDI'!G9+'II1.1'!G9</f>
        <v>1323</v>
      </c>
      <c r="D39" s="480" t="s">
        <v>1095</v>
      </c>
      <c r="E39" s="542" t="s">
        <v>1098</v>
      </c>
    </row>
    <row r="40" spans="1:5" ht="75" x14ac:dyDescent="0.25">
      <c r="A40" s="255">
        <v>1.2</v>
      </c>
      <c r="B40" s="433" t="s">
        <v>1096</v>
      </c>
      <c r="C40" s="448">
        <f>'II1.2'!G9</f>
        <v>928</v>
      </c>
      <c r="D40" s="481" t="s">
        <v>1097</v>
      </c>
      <c r="E40" s="543"/>
    </row>
    <row r="41" spans="1:5" ht="45" x14ac:dyDescent="0.25">
      <c r="A41" s="255">
        <v>1.3</v>
      </c>
      <c r="B41" s="466" t="s">
        <v>1099</v>
      </c>
      <c r="C41" s="448">
        <f>'II1.3'!G9</f>
        <v>0</v>
      </c>
      <c r="D41" s="481" t="s">
        <v>1100</v>
      </c>
      <c r="E41" s="256" t="s">
        <v>712</v>
      </c>
    </row>
    <row r="42" spans="1:5" ht="15.75" x14ac:dyDescent="0.25">
      <c r="A42" s="257">
        <v>1.4</v>
      </c>
      <c r="B42" s="439" t="s">
        <v>1103</v>
      </c>
      <c r="C42" s="448">
        <f>'II1.4'!I9</f>
        <v>0</v>
      </c>
      <c r="D42" s="482"/>
      <c r="E42" s="434"/>
    </row>
    <row r="43" spans="1:5" ht="15.75" x14ac:dyDescent="0.25">
      <c r="A43" s="440" t="s">
        <v>1108</v>
      </c>
      <c r="B43" s="439" t="s">
        <v>1104</v>
      </c>
      <c r="C43" s="448">
        <f>'II1.4'!S9</f>
        <v>0</v>
      </c>
      <c r="D43" s="483" t="s">
        <v>1105</v>
      </c>
      <c r="E43" s="434" t="s">
        <v>1101</v>
      </c>
    </row>
    <row r="44" spans="1:5" ht="15.75" x14ac:dyDescent="0.25">
      <c r="A44" s="440" t="s">
        <v>1109</v>
      </c>
      <c r="B44" s="439" t="s">
        <v>1106</v>
      </c>
      <c r="C44" s="448">
        <f>C42-C43</f>
        <v>0</v>
      </c>
      <c r="D44" s="483" t="s">
        <v>1107</v>
      </c>
      <c r="E44" s="434" t="s">
        <v>1101</v>
      </c>
    </row>
    <row r="45" spans="1:5" ht="45" x14ac:dyDescent="0.25">
      <c r="A45" s="258">
        <v>2</v>
      </c>
      <c r="B45" s="259" t="s">
        <v>713</v>
      </c>
      <c r="C45" s="448">
        <f>C46+C50</f>
        <v>33.944966178498717</v>
      </c>
      <c r="D45" s="276" t="s">
        <v>605</v>
      </c>
      <c r="E45" s="253" t="s">
        <v>605</v>
      </c>
    </row>
    <row r="46" spans="1:5" ht="60" x14ac:dyDescent="0.25">
      <c r="A46" s="260" t="s">
        <v>326</v>
      </c>
      <c r="B46" s="261" t="s">
        <v>793</v>
      </c>
      <c r="C46" s="448">
        <f>'II2.1a'!M9</f>
        <v>0</v>
      </c>
      <c r="D46" s="483"/>
      <c r="E46" s="544" t="s">
        <v>1122</v>
      </c>
    </row>
    <row r="47" spans="1:5" ht="30" x14ac:dyDescent="0.25">
      <c r="A47" s="260"/>
      <c r="B47" s="465" t="s">
        <v>1111</v>
      </c>
      <c r="C47" s="448">
        <f>'II2.1a'!Q9</f>
        <v>0</v>
      </c>
      <c r="D47" s="484" t="s">
        <v>1114</v>
      </c>
      <c r="E47" s="545"/>
    </row>
    <row r="48" spans="1:5" ht="30" x14ac:dyDescent="0.25">
      <c r="A48" s="260"/>
      <c r="B48" s="465" t="s">
        <v>1112</v>
      </c>
      <c r="C48" s="448">
        <f>'II2.1a'!R9</f>
        <v>0</v>
      </c>
      <c r="D48" s="484" t="s">
        <v>1115</v>
      </c>
      <c r="E48" s="545"/>
    </row>
    <row r="49" spans="1:5" ht="45" x14ac:dyDescent="0.25">
      <c r="A49" s="260"/>
      <c r="B49" s="465" t="s">
        <v>1113</v>
      </c>
      <c r="C49" s="448">
        <f>'II2.1a'!S9</f>
        <v>0</v>
      </c>
      <c r="D49" s="483" t="s">
        <v>1116</v>
      </c>
      <c r="E49" s="545"/>
    </row>
    <row r="50" spans="1:5" ht="45" x14ac:dyDescent="0.25">
      <c r="A50" s="260" t="s">
        <v>327</v>
      </c>
      <c r="B50" s="467" t="s">
        <v>794</v>
      </c>
      <c r="C50" s="448">
        <f>'II2.1b'!M9</f>
        <v>33.944966178498717</v>
      </c>
      <c r="D50" s="485"/>
      <c r="E50" s="545"/>
    </row>
    <row r="51" spans="1:5" ht="30" x14ac:dyDescent="0.25">
      <c r="A51" s="260"/>
      <c r="B51" s="467" t="s">
        <v>1117</v>
      </c>
      <c r="C51" s="448">
        <f>'II2.1b'!R9</f>
        <v>33.944966178498717</v>
      </c>
      <c r="D51" s="484" t="s">
        <v>1120</v>
      </c>
      <c r="E51" s="545"/>
    </row>
    <row r="52" spans="1:5" ht="30" x14ac:dyDescent="0.25">
      <c r="A52" s="260"/>
      <c r="B52" s="467" t="s">
        <v>1118</v>
      </c>
      <c r="C52" s="448">
        <f>'II2.1b'!S9</f>
        <v>0</v>
      </c>
      <c r="D52" s="484" t="s">
        <v>1121</v>
      </c>
      <c r="E52" s="545"/>
    </row>
    <row r="53" spans="1:5" ht="45" x14ac:dyDescent="0.25">
      <c r="A53" s="260"/>
      <c r="B53" s="467" t="s">
        <v>1119</v>
      </c>
      <c r="C53" s="448">
        <f>'II2.1b'!T9</f>
        <v>0</v>
      </c>
      <c r="D53" s="483" t="s">
        <v>1116</v>
      </c>
      <c r="E53" s="545"/>
    </row>
    <row r="54" spans="1:5" ht="15.75" x14ac:dyDescent="0.25">
      <c r="A54" s="262">
        <v>3</v>
      </c>
      <c r="B54" s="263" t="s">
        <v>1061</v>
      </c>
      <c r="C54" s="448">
        <f>'II3'!D9</f>
        <v>915</v>
      </c>
      <c r="D54" s="486" t="s">
        <v>605</v>
      </c>
      <c r="E54" s="546" t="s">
        <v>1129</v>
      </c>
    </row>
    <row r="55" spans="1:5" ht="15.75" x14ac:dyDescent="0.25">
      <c r="A55" s="468">
        <v>3.1</v>
      </c>
      <c r="B55" s="466" t="s">
        <v>714</v>
      </c>
      <c r="C55" s="448">
        <f>'II3'!D10</f>
        <v>220</v>
      </c>
      <c r="D55" s="486" t="s">
        <v>1123</v>
      </c>
      <c r="E55" s="547"/>
    </row>
    <row r="56" spans="1:5" ht="15.75" x14ac:dyDescent="0.25">
      <c r="A56" s="468">
        <v>3.2</v>
      </c>
      <c r="B56" s="466" t="s">
        <v>715</v>
      </c>
      <c r="C56" s="448">
        <f>'II3'!D11</f>
        <v>296</v>
      </c>
      <c r="D56" s="486" t="s">
        <v>1124</v>
      </c>
      <c r="E56" s="547"/>
    </row>
    <row r="57" spans="1:5" ht="15.75" x14ac:dyDescent="0.25">
      <c r="A57" s="468">
        <v>3.3</v>
      </c>
      <c r="B57" s="466" t="s">
        <v>716</v>
      </c>
      <c r="C57" s="448">
        <f>'II3'!D12</f>
        <v>399</v>
      </c>
      <c r="D57" s="486" t="s">
        <v>1125</v>
      </c>
      <c r="E57" s="547"/>
    </row>
    <row r="58" spans="1:5" ht="15.75" x14ac:dyDescent="0.25">
      <c r="A58" s="252">
        <v>4</v>
      </c>
      <c r="B58" s="253" t="s">
        <v>717</v>
      </c>
      <c r="C58" s="448">
        <f>'II4'!D14</f>
        <v>1880</v>
      </c>
      <c r="D58" s="485" t="s">
        <v>605</v>
      </c>
      <c r="E58" s="547"/>
    </row>
    <row r="59" spans="1:5" ht="18" x14ac:dyDescent="0.25">
      <c r="A59" s="440">
        <v>4.0999999999999996</v>
      </c>
      <c r="B59" s="439" t="s">
        <v>718</v>
      </c>
      <c r="C59" s="448">
        <f>'II4'!D11</f>
        <v>600</v>
      </c>
      <c r="D59" s="484" t="s">
        <v>1126</v>
      </c>
      <c r="E59" s="547"/>
    </row>
    <row r="60" spans="1:5" ht="18" x14ac:dyDescent="0.25">
      <c r="A60" s="440">
        <v>4.2</v>
      </c>
      <c r="B60" s="439" t="s">
        <v>719</v>
      </c>
      <c r="C60" s="448">
        <f>'II4'!D12</f>
        <v>800</v>
      </c>
      <c r="D60" s="484" t="s">
        <v>1127</v>
      </c>
      <c r="E60" s="547"/>
    </row>
    <row r="61" spans="1:5" ht="18" x14ac:dyDescent="0.25">
      <c r="A61" s="440">
        <v>4.3</v>
      </c>
      <c r="B61" s="439" t="s">
        <v>720</v>
      </c>
      <c r="C61" s="448">
        <f>'II4'!D13</f>
        <v>480</v>
      </c>
      <c r="D61" s="484" t="s">
        <v>1128</v>
      </c>
      <c r="E61" s="548"/>
    </row>
    <row r="62" spans="1:5" ht="15.75" x14ac:dyDescent="0.25">
      <c r="A62" s="252">
        <v>5</v>
      </c>
      <c r="B62" s="253" t="s">
        <v>795</v>
      </c>
      <c r="C62" s="448">
        <f>SUM(C63,C71,C76,C79)</f>
        <v>0</v>
      </c>
      <c r="D62" s="485" t="s">
        <v>605</v>
      </c>
      <c r="E62" s="254" t="s">
        <v>605</v>
      </c>
    </row>
    <row r="63" spans="1:5" ht="15.75" x14ac:dyDescent="0.25">
      <c r="A63" s="252" t="s">
        <v>721</v>
      </c>
      <c r="B63" s="253" t="s">
        <v>1050</v>
      </c>
      <c r="C63" s="448">
        <f>SUM(C64:C70)</f>
        <v>0</v>
      </c>
      <c r="D63" s="485" t="s">
        <v>605</v>
      </c>
      <c r="E63" s="254" t="s">
        <v>605</v>
      </c>
    </row>
    <row r="64" spans="1:5" ht="95.25" customHeight="1" x14ac:dyDescent="0.25">
      <c r="A64" s="255" t="s">
        <v>722</v>
      </c>
      <c r="B64" s="466" t="s">
        <v>1130</v>
      </c>
      <c r="C64" s="448">
        <f>total_arh1a_5</f>
        <v>0</v>
      </c>
      <c r="D64" s="487" t="s">
        <v>1131</v>
      </c>
      <c r="E64" s="256" t="s">
        <v>724</v>
      </c>
    </row>
    <row r="65" spans="1:5" ht="180" x14ac:dyDescent="0.25">
      <c r="A65" s="255" t="s">
        <v>725</v>
      </c>
      <c r="B65" s="466" t="s">
        <v>1132</v>
      </c>
      <c r="C65" s="448">
        <f>II5.1.2!total_arh1a_5</f>
        <v>0</v>
      </c>
      <c r="D65" s="488" t="s">
        <v>1133</v>
      </c>
      <c r="E65" s="256" t="s">
        <v>724</v>
      </c>
    </row>
    <row r="66" spans="1:5" ht="60" x14ac:dyDescent="0.25">
      <c r="A66" s="255" t="s">
        <v>726</v>
      </c>
      <c r="B66" s="466" t="s">
        <v>1134</v>
      </c>
      <c r="C66" s="448">
        <f>total_arh2a_5</f>
        <v>0</v>
      </c>
      <c r="D66" s="487" t="s">
        <v>1135</v>
      </c>
      <c r="E66" s="256" t="s">
        <v>724</v>
      </c>
    </row>
    <row r="67" spans="1:5" ht="45" x14ac:dyDescent="0.25">
      <c r="A67" s="255" t="s">
        <v>727</v>
      </c>
      <c r="B67" s="466" t="s">
        <v>1136</v>
      </c>
      <c r="C67" s="448">
        <f>total_arh2b_5</f>
        <v>0</v>
      </c>
      <c r="D67" s="487" t="s">
        <v>1137</v>
      </c>
      <c r="E67" s="256" t="s">
        <v>724</v>
      </c>
    </row>
    <row r="68" spans="1:5" ht="105" x14ac:dyDescent="0.25">
      <c r="A68" s="255" t="s">
        <v>728</v>
      </c>
      <c r="B68" s="466" t="s">
        <v>1138</v>
      </c>
      <c r="C68" s="448">
        <f>total_arh3a_5</f>
        <v>0</v>
      </c>
      <c r="D68" s="487" t="s">
        <v>1139</v>
      </c>
      <c r="E68" s="256" t="s">
        <v>724</v>
      </c>
    </row>
    <row r="69" spans="1:5" ht="75" x14ac:dyDescent="0.25">
      <c r="A69" s="255" t="s">
        <v>729</v>
      </c>
      <c r="B69" s="466" t="s">
        <v>1140</v>
      </c>
      <c r="C69" s="448">
        <f>total_arh3b_5</f>
        <v>0</v>
      </c>
      <c r="D69" s="487" t="s">
        <v>1141</v>
      </c>
      <c r="E69" s="256" t="s">
        <v>724</v>
      </c>
    </row>
    <row r="70" spans="1:5" ht="60" x14ac:dyDescent="0.25">
      <c r="A70" s="255" t="s">
        <v>730</v>
      </c>
      <c r="B70" s="466" t="s">
        <v>1161</v>
      </c>
      <c r="C70" s="448">
        <f>total_arh3c_5</f>
        <v>0</v>
      </c>
      <c r="D70" s="487" t="s">
        <v>1142</v>
      </c>
      <c r="E70" s="256" t="s">
        <v>724</v>
      </c>
    </row>
    <row r="71" spans="1:5" ht="15.75" x14ac:dyDescent="0.25">
      <c r="A71" s="252" t="s">
        <v>731</v>
      </c>
      <c r="B71" s="253" t="s">
        <v>1053</v>
      </c>
      <c r="C71" s="448">
        <f>SUM(C72:C75)</f>
        <v>0</v>
      </c>
      <c r="D71" s="485" t="s">
        <v>605</v>
      </c>
      <c r="E71" s="254" t="s">
        <v>605</v>
      </c>
    </row>
    <row r="72" spans="1:5" ht="105" x14ac:dyDescent="0.25">
      <c r="A72" s="255" t="s">
        <v>732</v>
      </c>
      <c r="B72" s="466" t="s">
        <v>1162</v>
      </c>
      <c r="C72" s="448">
        <f>'II5.2.1'!I9</f>
        <v>0</v>
      </c>
      <c r="D72" s="488" t="s">
        <v>1189</v>
      </c>
      <c r="E72" s="466" t="s">
        <v>1143</v>
      </c>
    </row>
    <row r="73" spans="1:5" ht="75" x14ac:dyDescent="0.25">
      <c r="A73" s="255" t="s">
        <v>733</v>
      </c>
      <c r="B73" s="466" t="s">
        <v>1163</v>
      </c>
      <c r="C73" s="448">
        <f>'II5.2.2'!G9</f>
        <v>0</v>
      </c>
      <c r="D73" s="488" t="s">
        <v>1190</v>
      </c>
      <c r="E73" s="466" t="s">
        <v>1144</v>
      </c>
    </row>
    <row r="74" spans="1:5" ht="30" x14ac:dyDescent="0.25">
      <c r="A74" s="257" t="s">
        <v>735</v>
      </c>
      <c r="B74" s="254" t="s">
        <v>768</v>
      </c>
      <c r="C74" s="448">
        <f>'II5.2.3'!D9</f>
        <v>0</v>
      </c>
      <c r="D74" s="485">
        <v>20</v>
      </c>
      <c r="E74" s="254" t="s">
        <v>701</v>
      </c>
    </row>
    <row r="75" spans="1:5" ht="75" x14ac:dyDescent="0.25">
      <c r="A75" s="255" t="s">
        <v>736</v>
      </c>
      <c r="B75" s="466" t="s">
        <v>1164</v>
      </c>
      <c r="C75" s="448">
        <f>'II5.2.4'!G9</f>
        <v>0</v>
      </c>
      <c r="D75" s="488" t="s">
        <v>1183</v>
      </c>
      <c r="E75" s="256" t="s">
        <v>737</v>
      </c>
    </row>
    <row r="76" spans="1:5" ht="15.75" x14ac:dyDescent="0.25">
      <c r="A76" s="252" t="s">
        <v>738</v>
      </c>
      <c r="B76" s="253" t="s">
        <v>1051</v>
      </c>
      <c r="C76" s="448">
        <f>'II5.3'!F9</f>
        <v>0</v>
      </c>
      <c r="D76" s="485" t="s">
        <v>605</v>
      </c>
      <c r="E76" s="254" t="s">
        <v>605</v>
      </c>
    </row>
    <row r="77" spans="1:5" ht="30" x14ac:dyDescent="0.25">
      <c r="A77" s="440" t="s">
        <v>1145</v>
      </c>
      <c r="B77" s="439" t="s">
        <v>1146</v>
      </c>
      <c r="C77" s="448">
        <f>'II5.3'!I9</f>
        <v>0</v>
      </c>
      <c r="D77" s="485">
        <v>10</v>
      </c>
      <c r="E77" s="254" t="s">
        <v>734</v>
      </c>
    </row>
    <row r="78" spans="1:5" ht="15.75" x14ac:dyDescent="0.25">
      <c r="A78" s="440" t="s">
        <v>1147</v>
      </c>
      <c r="B78" s="439" t="s">
        <v>1148</v>
      </c>
      <c r="C78" s="448">
        <f>'II5.3'!J9</f>
        <v>0</v>
      </c>
      <c r="D78" s="485">
        <v>8</v>
      </c>
      <c r="E78" s="254" t="s">
        <v>1149</v>
      </c>
    </row>
    <row r="79" spans="1:5" ht="15.75" x14ac:dyDescent="0.25">
      <c r="A79" s="252" t="s">
        <v>740</v>
      </c>
      <c r="B79" s="253" t="s">
        <v>1052</v>
      </c>
      <c r="C79" s="448">
        <f>total_sport</f>
        <v>0</v>
      </c>
      <c r="D79" s="485" t="s">
        <v>605</v>
      </c>
      <c r="E79" s="264" t="s">
        <v>605</v>
      </c>
    </row>
    <row r="80" spans="1:5" ht="105" x14ac:dyDescent="0.25">
      <c r="A80" s="440" t="s">
        <v>1150</v>
      </c>
      <c r="B80" s="439" t="s">
        <v>1165</v>
      </c>
      <c r="C80" s="448">
        <f>total_sport</f>
        <v>0</v>
      </c>
      <c r="D80" s="484" t="s">
        <v>1188</v>
      </c>
      <c r="E80" s="264"/>
    </row>
    <row r="81" spans="1:5" ht="15.75" x14ac:dyDescent="0.25">
      <c r="A81" s="252">
        <v>6</v>
      </c>
      <c r="B81" s="253" t="s">
        <v>971</v>
      </c>
      <c r="C81" s="448">
        <f>'II6'!E15</f>
        <v>505</v>
      </c>
      <c r="E81" s="254" t="s">
        <v>605</v>
      </c>
    </row>
    <row r="82" spans="1:5" s="499" customFormat="1" ht="15.75" x14ac:dyDescent="0.25">
      <c r="A82" s="500" t="s">
        <v>1227</v>
      </c>
      <c r="B82" s="466" t="s">
        <v>741</v>
      </c>
      <c r="C82" s="448">
        <f>'II6'!E11</f>
        <v>200</v>
      </c>
      <c r="D82" s="485">
        <v>200</v>
      </c>
      <c r="E82" s="439"/>
    </row>
    <row r="83" spans="1:5" s="499" customFormat="1" ht="15.75" x14ac:dyDescent="0.25">
      <c r="A83" s="468">
        <v>6.1</v>
      </c>
      <c r="B83" s="466" t="s">
        <v>1151</v>
      </c>
      <c r="C83" s="448">
        <f>'II6'!E12</f>
        <v>200</v>
      </c>
      <c r="D83" s="488" t="s">
        <v>1152</v>
      </c>
      <c r="E83" s="439"/>
    </row>
    <row r="84" spans="1:5" s="499" customFormat="1" ht="15.75" x14ac:dyDescent="0.25">
      <c r="A84" s="468">
        <v>6.2</v>
      </c>
      <c r="B84" s="466" t="s">
        <v>1153</v>
      </c>
      <c r="C84" s="448">
        <f>'II6'!E13</f>
        <v>100</v>
      </c>
      <c r="D84" s="488" t="s">
        <v>1154</v>
      </c>
      <c r="E84" s="439"/>
    </row>
    <row r="85" spans="1:5" s="499" customFormat="1" ht="15.75" x14ac:dyDescent="0.25">
      <c r="A85" s="468">
        <v>6.3</v>
      </c>
      <c r="B85" s="466" t="s">
        <v>742</v>
      </c>
      <c r="C85" s="448">
        <f>'II6'!E14</f>
        <v>5</v>
      </c>
      <c r="D85" s="488">
        <v>5</v>
      </c>
      <c r="E85" s="439" t="s">
        <v>743</v>
      </c>
    </row>
    <row r="86" spans="1:5" ht="15.75" x14ac:dyDescent="0.25">
      <c r="A86" s="262">
        <v>7</v>
      </c>
      <c r="B86" s="263" t="s">
        <v>807</v>
      </c>
      <c r="C86" s="448">
        <f>'II7'!F11</f>
        <v>0</v>
      </c>
      <c r="D86" s="486" t="s">
        <v>605</v>
      </c>
      <c r="E86" s="254" t="s">
        <v>744</v>
      </c>
    </row>
    <row r="87" spans="1:5" s="499" customFormat="1" ht="15.75" x14ac:dyDescent="0.25">
      <c r="A87" s="468"/>
      <c r="B87" s="466" t="s">
        <v>1180</v>
      </c>
      <c r="C87" s="448">
        <f>'II7'!H11</f>
        <v>0</v>
      </c>
      <c r="D87" s="488">
        <v>20</v>
      </c>
      <c r="E87" s="538" t="s">
        <v>1155</v>
      </c>
    </row>
    <row r="88" spans="1:5" s="499" customFormat="1" ht="15.75" x14ac:dyDescent="0.25">
      <c r="A88" s="468"/>
      <c r="B88" s="466" t="s">
        <v>1181</v>
      </c>
      <c r="C88" s="448">
        <f>'II7'!I11</f>
        <v>0</v>
      </c>
      <c r="D88" s="488">
        <v>5</v>
      </c>
      <c r="E88" s="538"/>
    </row>
    <row r="89" spans="1:5" s="499" customFormat="1" ht="15.75" x14ac:dyDescent="0.25">
      <c r="A89" s="468"/>
      <c r="B89" s="466" t="s">
        <v>1182</v>
      </c>
      <c r="C89" s="448">
        <f>'II7'!J11</f>
        <v>0</v>
      </c>
      <c r="D89" s="488">
        <v>2</v>
      </c>
      <c r="E89" s="537"/>
    </row>
    <row r="90" spans="1:5" ht="15.75" x14ac:dyDescent="0.25">
      <c r="A90" s="262">
        <v>8</v>
      </c>
      <c r="B90" s="253" t="s">
        <v>745</v>
      </c>
      <c r="C90" s="448">
        <f>'II8'!E9</f>
        <v>20</v>
      </c>
      <c r="D90" s="485" t="s">
        <v>605</v>
      </c>
      <c r="E90" s="254" t="s">
        <v>605</v>
      </c>
    </row>
    <row r="91" spans="1:5" s="499" customFormat="1" ht="45" x14ac:dyDescent="0.25">
      <c r="A91" s="468"/>
      <c r="B91" s="439" t="s">
        <v>1166</v>
      </c>
      <c r="C91" s="448">
        <f>'II8'!H9</f>
        <v>0</v>
      </c>
      <c r="D91" s="484" t="s">
        <v>1093</v>
      </c>
      <c r="E91" s="466" t="s">
        <v>1156</v>
      </c>
    </row>
    <row r="92" spans="1:5" s="499" customFormat="1" ht="45" x14ac:dyDescent="0.25">
      <c r="A92" s="468"/>
      <c r="B92" s="439" t="s">
        <v>1167</v>
      </c>
      <c r="C92" s="448">
        <f>'II8'!I9</f>
        <v>20</v>
      </c>
      <c r="D92" s="484" t="s">
        <v>1184</v>
      </c>
      <c r="E92" s="466" t="s">
        <v>1157</v>
      </c>
    </row>
    <row r="93" spans="1:5" ht="15.75" x14ac:dyDescent="0.25">
      <c r="A93" s="262">
        <v>9</v>
      </c>
      <c r="B93" s="253" t="s">
        <v>990</v>
      </c>
      <c r="C93" s="448">
        <f>'II9'!F9</f>
        <v>496</v>
      </c>
      <c r="D93" s="485" t="s">
        <v>605</v>
      </c>
      <c r="E93" s="256" t="s">
        <v>734</v>
      </c>
    </row>
    <row r="94" spans="1:5" s="499" customFormat="1" ht="15.75" x14ac:dyDescent="0.25">
      <c r="A94" s="468"/>
      <c r="B94" s="439" t="s">
        <v>1158</v>
      </c>
      <c r="C94" s="448"/>
      <c r="D94" s="484"/>
      <c r="E94" s="466"/>
    </row>
    <row r="95" spans="1:5" s="499" customFormat="1" ht="15.75" x14ac:dyDescent="0.25">
      <c r="A95" s="468"/>
      <c r="B95" s="439" t="s">
        <v>1174</v>
      </c>
      <c r="C95" s="448">
        <f>'II9'!I9</f>
        <v>280</v>
      </c>
      <c r="D95" s="484">
        <v>10</v>
      </c>
      <c r="E95" s="536" t="s">
        <v>734</v>
      </c>
    </row>
    <row r="96" spans="1:5" s="499" customFormat="1" ht="15.75" x14ac:dyDescent="0.25">
      <c r="A96" s="468"/>
      <c r="B96" s="439" t="s">
        <v>1175</v>
      </c>
      <c r="C96" s="448">
        <f>'II9'!J9</f>
        <v>0</v>
      </c>
      <c r="D96" s="484">
        <v>6</v>
      </c>
      <c r="E96" s="538"/>
    </row>
    <row r="97" spans="1:5" s="499" customFormat="1" ht="15.75" x14ac:dyDescent="0.25">
      <c r="A97" s="468"/>
      <c r="B97" s="439" t="s">
        <v>1176</v>
      </c>
      <c r="C97" s="448">
        <f>'II9'!K9</f>
        <v>0</v>
      </c>
      <c r="D97" s="484">
        <v>4</v>
      </c>
      <c r="E97" s="537"/>
    </row>
    <row r="98" spans="1:5" s="499" customFormat="1" ht="15.75" x14ac:dyDescent="0.25">
      <c r="A98" s="468"/>
      <c r="B98" s="439" t="s">
        <v>1159</v>
      </c>
      <c r="C98" s="448"/>
      <c r="D98" s="484"/>
      <c r="E98" s="466"/>
    </row>
    <row r="99" spans="1:5" s="499" customFormat="1" ht="15.75" x14ac:dyDescent="0.25">
      <c r="A99" s="468"/>
      <c r="B99" s="439" t="s">
        <v>1177</v>
      </c>
      <c r="C99" s="448">
        <f>'II9'!L9</f>
        <v>180</v>
      </c>
      <c r="D99" s="484">
        <v>5</v>
      </c>
      <c r="E99" s="536" t="s">
        <v>734</v>
      </c>
    </row>
    <row r="100" spans="1:5" s="499" customFormat="1" ht="15.75" x14ac:dyDescent="0.25">
      <c r="A100" s="468"/>
      <c r="B100" s="439" t="s">
        <v>1178</v>
      </c>
      <c r="C100" s="448">
        <f>'II9'!M9</f>
        <v>36</v>
      </c>
      <c r="D100" s="484">
        <v>3</v>
      </c>
      <c r="E100" s="538"/>
    </row>
    <row r="101" spans="1:5" s="499" customFormat="1" ht="15.75" x14ac:dyDescent="0.25">
      <c r="A101" s="468"/>
      <c r="B101" s="439" t="s">
        <v>1179</v>
      </c>
      <c r="C101" s="448">
        <f>'II9'!N9</f>
        <v>0</v>
      </c>
      <c r="D101" s="484">
        <v>2</v>
      </c>
      <c r="E101" s="537"/>
    </row>
    <row r="102" spans="1:5" ht="15.75" x14ac:dyDescent="0.25">
      <c r="A102" s="262">
        <v>10</v>
      </c>
      <c r="B102" s="253" t="s">
        <v>796</v>
      </c>
      <c r="C102" s="448">
        <f>'II10'!E9</f>
        <v>120</v>
      </c>
      <c r="D102" s="485" t="s">
        <v>605</v>
      </c>
      <c r="E102" s="254" t="s">
        <v>605</v>
      </c>
    </row>
    <row r="103" spans="1:5" s="499" customFormat="1" ht="90" x14ac:dyDescent="0.25">
      <c r="A103" s="468"/>
      <c r="B103" s="466" t="s">
        <v>1168</v>
      </c>
      <c r="C103" s="448">
        <f>'II10'!H9</f>
        <v>0</v>
      </c>
      <c r="D103" s="488" t="s">
        <v>1187</v>
      </c>
      <c r="E103" s="466" t="s">
        <v>1157</v>
      </c>
    </row>
    <row r="104" spans="1:5" s="499" customFormat="1" ht="120" x14ac:dyDescent="0.25">
      <c r="A104" s="468"/>
      <c r="B104" s="466" t="s">
        <v>1169</v>
      </c>
      <c r="C104" s="448">
        <f>'II10'!I9</f>
        <v>100</v>
      </c>
      <c r="D104" s="488" t="s">
        <v>1186</v>
      </c>
      <c r="E104" s="466" t="s">
        <v>1157</v>
      </c>
    </row>
    <row r="105" spans="1:5" s="499" customFormat="1" ht="96" customHeight="1" x14ac:dyDescent="0.25">
      <c r="A105" s="468"/>
      <c r="B105" s="466" t="s">
        <v>1170</v>
      </c>
      <c r="C105" s="448">
        <f>'II10'!J9</f>
        <v>20</v>
      </c>
      <c r="D105" s="488" t="s">
        <v>1185</v>
      </c>
      <c r="E105" s="466" t="s">
        <v>1160</v>
      </c>
    </row>
    <row r="106" spans="1:5" ht="45" x14ac:dyDescent="0.25">
      <c r="A106" s="262">
        <v>11</v>
      </c>
      <c r="B106" s="263" t="s">
        <v>1173</v>
      </c>
      <c r="C106" s="448">
        <f>'II11'!E9</f>
        <v>0</v>
      </c>
      <c r="D106" s="488" t="s">
        <v>1191</v>
      </c>
      <c r="E106" s="256" t="s">
        <v>746</v>
      </c>
    </row>
    <row r="107" spans="1:5" ht="15.75" x14ac:dyDescent="0.25">
      <c r="A107" s="262">
        <v>12</v>
      </c>
      <c r="B107" s="253" t="s">
        <v>747</v>
      </c>
      <c r="C107" s="448">
        <f>'II12'!E9</f>
        <v>50</v>
      </c>
      <c r="D107" s="485" t="s">
        <v>605</v>
      </c>
      <c r="E107" s="254" t="s">
        <v>605</v>
      </c>
    </row>
    <row r="108" spans="1:5" s="499" customFormat="1" ht="15.75" x14ac:dyDescent="0.25">
      <c r="A108" s="468"/>
      <c r="B108" s="439" t="s">
        <v>1171</v>
      </c>
      <c r="C108" s="448">
        <f>'II12'!I9</f>
        <v>10</v>
      </c>
      <c r="D108" s="484">
        <v>10</v>
      </c>
      <c r="E108" s="536" t="s">
        <v>743</v>
      </c>
    </row>
    <row r="109" spans="1:5" s="499" customFormat="1" ht="15.75" x14ac:dyDescent="0.25">
      <c r="A109" s="468"/>
      <c r="B109" s="439" t="s">
        <v>1172</v>
      </c>
      <c r="C109" s="448">
        <f>'II12'!H9</f>
        <v>40</v>
      </c>
      <c r="D109" s="484">
        <v>5</v>
      </c>
      <c r="E109" s="537"/>
    </row>
    <row r="110" spans="1:5" ht="15.75" x14ac:dyDescent="0.25">
      <c r="A110" s="252">
        <v>13</v>
      </c>
      <c r="B110" s="253" t="s">
        <v>748</v>
      </c>
      <c r="C110" s="448">
        <f>'II13'!D9</f>
        <v>0</v>
      </c>
      <c r="D110" s="485">
        <v>10</v>
      </c>
      <c r="E110" s="254" t="s">
        <v>743</v>
      </c>
    </row>
    <row r="111" spans="1:5" x14ac:dyDescent="0.25">
      <c r="A111" s="265" t="s">
        <v>605</v>
      </c>
      <c r="B111" s="266" t="s">
        <v>749</v>
      </c>
      <c r="C111" s="459" t="s">
        <v>705</v>
      </c>
      <c r="D111" s="489" t="s">
        <v>605</v>
      </c>
      <c r="E111" s="267" t="s">
        <v>605</v>
      </c>
    </row>
    <row r="112" spans="1:5" x14ac:dyDescent="0.25">
      <c r="A112" s="268"/>
      <c r="B112" s="269" t="s">
        <v>605</v>
      </c>
      <c r="C112" s="460" t="s">
        <v>706</v>
      </c>
      <c r="D112" s="490"/>
      <c r="E112" s="270"/>
    </row>
    <row r="113" spans="1:5" x14ac:dyDescent="0.25">
      <c r="A113" s="268"/>
      <c r="B113" s="269" t="s">
        <v>707</v>
      </c>
      <c r="C113" s="460" t="s">
        <v>708</v>
      </c>
      <c r="D113" s="490"/>
      <c r="E113" s="270"/>
    </row>
    <row r="114" spans="1:5" x14ac:dyDescent="0.25">
      <c r="A114" s="271"/>
      <c r="B114" s="272"/>
      <c r="C114" s="461" t="s">
        <v>709</v>
      </c>
      <c r="D114" s="491"/>
      <c r="E114" s="272"/>
    </row>
    <row r="115" spans="1:5" ht="15.75" x14ac:dyDescent="0.25">
      <c r="A115" s="227" t="s">
        <v>605</v>
      </c>
      <c r="B115" s="228" t="s">
        <v>710</v>
      </c>
      <c r="C115" s="449">
        <f>SUM(C38,C45,C54,C58,C62,C81,C86,C90,C93,C102,C106,C107,C110,)</f>
        <v>6270.9449661784984</v>
      </c>
      <c r="D115" s="479" t="s">
        <v>605</v>
      </c>
      <c r="E115" s="251"/>
    </row>
    <row r="117" spans="1:5" ht="16.5" x14ac:dyDescent="0.25">
      <c r="A117" s="273" t="s">
        <v>605</v>
      </c>
      <c r="B117" s="274" t="s">
        <v>750</v>
      </c>
      <c r="C117" s="450"/>
      <c r="D117" s="492" t="s">
        <v>605</v>
      </c>
      <c r="E117" s="275" t="s">
        <v>605</v>
      </c>
    </row>
    <row r="118" spans="1:5" ht="30" customHeight="1" x14ac:dyDescent="0.25">
      <c r="A118" s="252">
        <v>1</v>
      </c>
      <c r="B118" s="276" t="s">
        <v>797</v>
      </c>
      <c r="C118" s="445">
        <f>III.1!F11</f>
        <v>31</v>
      </c>
      <c r="D118" s="493"/>
      <c r="E118" s="439"/>
    </row>
    <row r="119" spans="1:5" s="499" customFormat="1" ht="30" customHeight="1" x14ac:dyDescent="0.25">
      <c r="A119" s="468">
        <v>1.1000000000000001</v>
      </c>
      <c r="B119" s="488" t="s">
        <v>1193</v>
      </c>
      <c r="C119" s="445">
        <f>III.1!J11</f>
        <v>25</v>
      </c>
      <c r="D119" s="488">
        <v>5</v>
      </c>
      <c r="E119" s="536" t="s">
        <v>1192</v>
      </c>
    </row>
    <row r="120" spans="1:5" s="499" customFormat="1" ht="60" x14ac:dyDescent="0.25">
      <c r="A120" s="468">
        <v>1.2</v>
      </c>
      <c r="B120" s="488" t="s">
        <v>1194</v>
      </c>
      <c r="C120" s="445">
        <f>III.1!K11</f>
        <v>0</v>
      </c>
      <c r="D120" s="488">
        <v>10</v>
      </c>
      <c r="E120" s="538"/>
    </row>
    <row r="121" spans="1:5" s="499" customFormat="1" ht="60" x14ac:dyDescent="0.25">
      <c r="A121" s="468">
        <v>1.3</v>
      </c>
      <c r="B121" s="488" t="s">
        <v>1195</v>
      </c>
      <c r="C121" s="445">
        <f>III.1!L11</f>
        <v>6</v>
      </c>
      <c r="D121" s="488">
        <v>2</v>
      </c>
      <c r="E121" s="537"/>
    </row>
    <row r="122" spans="1:5" ht="60" x14ac:dyDescent="0.25">
      <c r="A122" s="262">
        <v>2</v>
      </c>
      <c r="B122" s="263" t="s">
        <v>1225</v>
      </c>
      <c r="C122" s="445">
        <f>III.2!F11</f>
        <v>0</v>
      </c>
      <c r="D122" s="488" t="s">
        <v>1226</v>
      </c>
      <c r="E122" s="466" t="s">
        <v>1196</v>
      </c>
    </row>
    <row r="123" spans="1:5" ht="15.75" x14ac:dyDescent="0.25">
      <c r="A123" s="252">
        <v>3</v>
      </c>
      <c r="B123" s="253" t="s">
        <v>798</v>
      </c>
      <c r="C123" s="445">
        <f>III.3!D11</f>
        <v>0</v>
      </c>
      <c r="D123" s="485">
        <v>50</v>
      </c>
      <c r="E123" s="254" t="s">
        <v>701</v>
      </c>
    </row>
    <row r="124" spans="1:5" ht="45" x14ac:dyDescent="0.25">
      <c r="A124" s="262">
        <v>4</v>
      </c>
      <c r="B124" s="263" t="s">
        <v>1224</v>
      </c>
      <c r="C124" s="445">
        <f>III.4!E11</f>
        <v>0</v>
      </c>
      <c r="D124" s="488" t="s">
        <v>1222</v>
      </c>
      <c r="E124" s="256" t="s">
        <v>701</v>
      </c>
    </row>
    <row r="125" spans="1:5" ht="60" x14ac:dyDescent="0.25">
      <c r="A125" s="262">
        <v>5</v>
      </c>
      <c r="B125" s="263" t="s">
        <v>1223</v>
      </c>
      <c r="C125" s="445">
        <f>III.5!E11</f>
        <v>225</v>
      </c>
      <c r="D125" s="488" t="s">
        <v>1221</v>
      </c>
      <c r="E125" s="256" t="s">
        <v>743</v>
      </c>
    </row>
    <row r="126" spans="1:5" ht="15.75" x14ac:dyDescent="0.25">
      <c r="A126" s="262">
        <v>6</v>
      </c>
      <c r="B126" s="253" t="s">
        <v>752</v>
      </c>
      <c r="C126" s="445">
        <f>III.6!F11</f>
        <v>20</v>
      </c>
      <c r="D126" s="485" t="s">
        <v>605</v>
      </c>
      <c r="E126" s="254" t="s">
        <v>605</v>
      </c>
    </row>
    <row r="127" spans="1:5" s="499" customFormat="1" ht="15.75" x14ac:dyDescent="0.25">
      <c r="A127" s="468"/>
      <c r="B127" s="439" t="s">
        <v>1210</v>
      </c>
      <c r="C127" s="445">
        <f>III.6!J11</f>
        <v>0</v>
      </c>
      <c r="D127" s="484">
        <v>120</v>
      </c>
      <c r="E127" s="536" t="s">
        <v>1197</v>
      </c>
    </row>
    <row r="128" spans="1:5" s="499" customFormat="1" ht="15.75" x14ac:dyDescent="0.25">
      <c r="A128" s="468"/>
      <c r="B128" s="439" t="s">
        <v>1211</v>
      </c>
      <c r="C128" s="445">
        <f>III.6!K11</f>
        <v>0</v>
      </c>
      <c r="D128" s="484">
        <v>60</v>
      </c>
      <c r="E128" s="538"/>
    </row>
    <row r="129" spans="1:5" s="499" customFormat="1" ht="15.75" x14ac:dyDescent="0.25">
      <c r="A129" s="468"/>
      <c r="B129" s="439" t="s">
        <v>1212</v>
      </c>
      <c r="C129" s="445">
        <f>III.6!L11</f>
        <v>0</v>
      </c>
      <c r="D129" s="484">
        <v>40</v>
      </c>
      <c r="E129" s="538"/>
    </row>
    <row r="130" spans="1:5" s="499" customFormat="1" ht="15.75" x14ac:dyDescent="0.25">
      <c r="A130" s="468"/>
      <c r="B130" s="439" t="s">
        <v>1213</v>
      </c>
      <c r="C130" s="445">
        <f>III.6!M11</f>
        <v>20</v>
      </c>
      <c r="D130" s="484">
        <v>20</v>
      </c>
      <c r="E130" s="537"/>
    </row>
    <row r="131" spans="1:5" ht="15.75" x14ac:dyDescent="0.25">
      <c r="A131" s="262">
        <v>7</v>
      </c>
      <c r="B131" s="253" t="s">
        <v>753</v>
      </c>
      <c r="C131" s="445">
        <f>III.7!E11</f>
        <v>0</v>
      </c>
      <c r="D131" s="485" t="s">
        <v>605</v>
      </c>
      <c r="E131" s="254" t="s">
        <v>605</v>
      </c>
    </row>
    <row r="132" spans="1:5" s="499" customFormat="1" ht="15.75" x14ac:dyDescent="0.25">
      <c r="A132" s="468"/>
      <c r="B132" s="439" t="s">
        <v>1210</v>
      </c>
      <c r="C132" s="445">
        <f>III.7!F11</f>
        <v>0</v>
      </c>
      <c r="D132" s="484">
        <v>200</v>
      </c>
      <c r="E132" s="439" t="s">
        <v>751</v>
      </c>
    </row>
    <row r="133" spans="1:5" s="499" customFormat="1" ht="15.75" x14ac:dyDescent="0.25">
      <c r="A133" s="468"/>
      <c r="B133" s="439" t="s">
        <v>1214</v>
      </c>
      <c r="C133" s="445">
        <f>III.7!G11</f>
        <v>0</v>
      </c>
      <c r="D133" s="484">
        <v>50</v>
      </c>
      <c r="E133" s="439" t="s">
        <v>1198</v>
      </c>
    </row>
    <row r="134" spans="1:5" ht="15.75" x14ac:dyDescent="0.25">
      <c r="A134" s="262">
        <v>8</v>
      </c>
      <c r="B134" s="253" t="s">
        <v>835</v>
      </c>
      <c r="C134" s="445">
        <f>III.8!F11</f>
        <v>135</v>
      </c>
      <c r="D134" s="485" t="s">
        <v>605</v>
      </c>
      <c r="E134" s="254" t="s">
        <v>605</v>
      </c>
    </row>
    <row r="135" spans="1:5" s="499" customFormat="1" ht="15.75" x14ac:dyDescent="0.25">
      <c r="A135" s="468"/>
      <c r="B135" s="439" t="s">
        <v>754</v>
      </c>
      <c r="C135" s="445"/>
      <c r="D135" s="484"/>
      <c r="E135" s="439"/>
    </row>
    <row r="136" spans="1:5" s="499" customFormat="1" ht="15.75" x14ac:dyDescent="0.25">
      <c r="A136" s="468"/>
      <c r="B136" s="439" t="s">
        <v>1215</v>
      </c>
      <c r="C136" s="445">
        <f>III.8!J11</f>
        <v>100</v>
      </c>
      <c r="D136" s="484">
        <v>50</v>
      </c>
      <c r="E136" s="536" t="s">
        <v>1200</v>
      </c>
    </row>
    <row r="137" spans="1:5" s="499" customFormat="1" ht="15.75" x14ac:dyDescent="0.25">
      <c r="A137" s="468"/>
      <c r="B137" s="439" t="s">
        <v>1216</v>
      </c>
      <c r="C137" s="445">
        <f>III.8!M11</f>
        <v>0</v>
      </c>
      <c r="D137" s="484">
        <v>20</v>
      </c>
      <c r="E137" s="537"/>
    </row>
    <row r="138" spans="1:5" s="499" customFormat="1" ht="15.75" x14ac:dyDescent="0.25">
      <c r="A138" s="468"/>
      <c r="B138" s="439" t="s">
        <v>755</v>
      </c>
      <c r="C138" s="445"/>
      <c r="D138" s="484"/>
      <c r="E138" s="484"/>
    </row>
    <row r="139" spans="1:5" s="499" customFormat="1" ht="15.75" x14ac:dyDescent="0.25">
      <c r="A139" s="468"/>
      <c r="B139" s="439" t="s">
        <v>1215</v>
      </c>
      <c r="C139" s="445">
        <f>III.8!K11</f>
        <v>25</v>
      </c>
      <c r="D139" s="484">
        <v>5</v>
      </c>
      <c r="E139" s="536" t="s">
        <v>1200</v>
      </c>
    </row>
    <row r="140" spans="1:5" s="499" customFormat="1" ht="15.75" x14ac:dyDescent="0.25">
      <c r="A140" s="468"/>
      <c r="B140" s="439" t="s">
        <v>1216</v>
      </c>
      <c r="C140" s="445">
        <f>III.8!N11</f>
        <v>10</v>
      </c>
      <c r="D140" s="484">
        <v>2</v>
      </c>
      <c r="E140" s="537"/>
    </row>
    <row r="141" spans="1:5" s="499" customFormat="1" ht="15.75" x14ac:dyDescent="0.25">
      <c r="A141" s="468"/>
      <c r="B141" s="439" t="s">
        <v>1199</v>
      </c>
      <c r="C141" s="445">
        <f>III.8!L11+III.8!O11</f>
        <v>0</v>
      </c>
      <c r="D141" s="484">
        <v>3</v>
      </c>
      <c r="E141" s="439" t="s">
        <v>1201</v>
      </c>
    </row>
    <row r="142" spans="1:5" ht="15.75" x14ac:dyDescent="0.25">
      <c r="A142" s="262">
        <v>9</v>
      </c>
      <c r="B142" s="253" t="s">
        <v>1083</v>
      </c>
      <c r="C142" s="445">
        <f>III.9!E11</f>
        <v>0</v>
      </c>
      <c r="D142" s="485" t="s">
        <v>605</v>
      </c>
      <c r="E142" s="254" t="s">
        <v>605</v>
      </c>
    </row>
    <row r="143" spans="1:5" s="499" customFormat="1" ht="15.75" x14ac:dyDescent="0.25">
      <c r="A143" s="468"/>
      <c r="B143" s="439" t="s">
        <v>1217</v>
      </c>
      <c r="C143" s="445">
        <f>III.9!I11</f>
        <v>0</v>
      </c>
      <c r="D143" s="484">
        <v>15</v>
      </c>
      <c r="E143" s="536" t="s">
        <v>1202</v>
      </c>
    </row>
    <row r="144" spans="1:5" s="499" customFormat="1" ht="15.75" x14ac:dyDescent="0.25">
      <c r="A144" s="468"/>
      <c r="B144" s="439" t="s">
        <v>1218</v>
      </c>
      <c r="C144" s="445">
        <f>III.9!J11</f>
        <v>0</v>
      </c>
      <c r="D144" s="484">
        <v>10</v>
      </c>
      <c r="E144" s="537"/>
    </row>
    <row r="145" spans="1:5" ht="15.75" x14ac:dyDescent="0.25">
      <c r="A145" s="252">
        <v>10</v>
      </c>
      <c r="B145" s="253" t="s">
        <v>757</v>
      </c>
      <c r="C145" s="445">
        <f>III.10!D11</f>
        <v>0</v>
      </c>
      <c r="D145" s="485">
        <v>100</v>
      </c>
      <c r="E145" s="254" t="s">
        <v>758</v>
      </c>
    </row>
    <row r="146" spans="1:5" ht="15.75" x14ac:dyDescent="0.25">
      <c r="A146" s="252">
        <v>11</v>
      </c>
      <c r="B146" s="253" t="s">
        <v>799</v>
      </c>
      <c r="C146" s="445">
        <f>III.11!D11</f>
        <v>0</v>
      </c>
      <c r="D146" s="485">
        <v>40</v>
      </c>
      <c r="E146" s="254" t="s">
        <v>758</v>
      </c>
    </row>
    <row r="147" spans="1:5" ht="90" x14ac:dyDescent="0.25">
      <c r="A147" s="262">
        <v>12</v>
      </c>
      <c r="B147" s="263" t="s">
        <v>1208</v>
      </c>
      <c r="C147" s="445">
        <f>III.12!D11</f>
        <v>120</v>
      </c>
      <c r="D147" s="488" t="s">
        <v>1220</v>
      </c>
      <c r="E147" s="256" t="s">
        <v>751</v>
      </c>
    </row>
    <row r="148" spans="1:5" ht="60" x14ac:dyDescent="0.25">
      <c r="A148" s="262">
        <v>13</v>
      </c>
      <c r="B148" s="263" t="s">
        <v>1209</v>
      </c>
      <c r="C148" s="445">
        <f>III.13!E11</f>
        <v>0</v>
      </c>
      <c r="D148" s="488" t="s">
        <v>1219</v>
      </c>
      <c r="E148" s="256" t="s">
        <v>751</v>
      </c>
    </row>
    <row r="149" spans="1:5" ht="30" x14ac:dyDescent="0.25">
      <c r="A149" s="252">
        <v>14</v>
      </c>
      <c r="B149" s="253" t="s">
        <v>759</v>
      </c>
      <c r="C149" s="445">
        <f>III.14!D11</f>
        <v>300</v>
      </c>
      <c r="D149" s="485">
        <v>50</v>
      </c>
      <c r="E149" s="254" t="s">
        <v>760</v>
      </c>
    </row>
    <row r="150" spans="1:5" ht="30" x14ac:dyDescent="0.25">
      <c r="A150" s="252">
        <v>15</v>
      </c>
      <c r="B150" s="253" t="s">
        <v>769</v>
      </c>
      <c r="C150" s="445">
        <f>III.15!E11</f>
        <v>100</v>
      </c>
      <c r="D150" s="485" t="s">
        <v>770</v>
      </c>
      <c r="E150" s="254" t="s">
        <v>771</v>
      </c>
    </row>
    <row r="151" spans="1:5" ht="30" x14ac:dyDescent="0.25">
      <c r="A151" s="252">
        <v>16</v>
      </c>
      <c r="B151" s="253" t="s">
        <v>800</v>
      </c>
      <c r="C151" s="445">
        <f>III.16!D11</f>
        <v>0</v>
      </c>
      <c r="D151" s="485">
        <v>10</v>
      </c>
      <c r="E151" s="254" t="s">
        <v>760</v>
      </c>
    </row>
    <row r="152" spans="1:5" x14ac:dyDescent="0.25">
      <c r="A152" s="265" t="s">
        <v>605</v>
      </c>
      <c r="B152" s="266" t="s">
        <v>761</v>
      </c>
      <c r="C152" s="457" t="s">
        <v>1068</v>
      </c>
      <c r="D152" s="489" t="s">
        <v>605</v>
      </c>
      <c r="E152" s="267" t="s">
        <v>605</v>
      </c>
    </row>
    <row r="153" spans="1:5" x14ac:dyDescent="0.25">
      <c r="A153" s="268"/>
      <c r="B153" s="269" t="s">
        <v>605</v>
      </c>
      <c r="C153" s="457" t="s">
        <v>1069</v>
      </c>
      <c r="D153" s="490"/>
      <c r="E153" s="270"/>
    </row>
    <row r="154" spans="1:5" x14ac:dyDescent="0.25">
      <c r="A154" s="268"/>
      <c r="B154" s="415" t="s">
        <v>1072</v>
      </c>
      <c r="C154" s="457" t="s">
        <v>1070</v>
      </c>
      <c r="D154" s="490"/>
      <c r="E154" s="270"/>
    </row>
    <row r="155" spans="1:5" x14ac:dyDescent="0.25">
      <c r="A155" s="271"/>
      <c r="B155" s="272"/>
      <c r="C155" s="457" t="s">
        <v>1071</v>
      </c>
      <c r="D155" s="491"/>
      <c r="E155" s="272"/>
    </row>
    <row r="156" spans="1:5" ht="16.5" x14ac:dyDescent="0.25">
      <c r="A156" s="273" t="s">
        <v>605</v>
      </c>
      <c r="B156" s="274" t="s">
        <v>750</v>
      </c>
      <c r="C156" s="451">
        <f>SUM(C151,C150,C149,C148,C147,C146,C145,C142,C134,C131,C126,C125,C124,C122,C123,C118)</f>
        <v>931</v>
      </c>
      <c r="D156" s="492" t="s">
        <v>605</v>
      </c>
      <c r="E156" s="275" t="s">
        <v>605</v>
      </c>
    </row>
    <row r="157" spans="1:5" x14ac:dyDescent="0.25">
      <c r="A157" s="277" t="s">
        <v>605</v>
      </c>
      <c r="B157" s="278" t="s">
        <v>605</v>
      </c>
      <c r="C157" s="452" t="s">
        <v>605</v>
      </c>
      <c r="D157" s="494" t="s">
        <v>605</v>
      </c>
      <c r="E157" s="279" t="s">
        <v>605</v>
      </c>
    </row>
    <row r="158" spans="1:5" x14ac:dyDescent="0.25">
      <c r="A158" s="280" t="s">
        <v>605</v>
      </c>
      <c r="B158" s="281" t="s">
        <v>762</v>
      </c>
      <c r="C158" s="462" t="s">
        <v>763</v>
      </c>
      <c r="D158" s="495" t="s">
        <v>605</v>
      </c>
      <c r="E158" s="282" t="s">
        <v>764</v>
      </c>
    </row>
    <row r="159" spans="1:5" x14ac:dyDescent="0.25">
      <c r="A159" s="283"/>
      <c r="B159" s="284"/>
      <c r="C159" s="463" t="s">
        <v>765</v>
      </c>
      <c r="D159" s="496"/>
      <c r="E159" s="284"/>
    </row>
    <row r="160" spans="1:5" x14ac:dyDescent="0.25">
      <c r="A160" s="283"/>
      <c r="B160" s="284"/>
      <c r="C160" s="463" t="s">
        <v>766</v>
      </c>
      <c r="D160" s="496"/>
      <c r="E160" s="284"/>
    </row>
    <row r="161" spans="1:5" x14ac:dyDescent="0.25">
      <c r="A161" s="285"/>
      <c r="B161" s="286"/>
      <c r="C161" s="464" t="s">
        <v>767</v>
      </c>
      <c r="D161" s="497"/>
      <c r="E161" s="286"/>
    </row>
    <row r="162" spans="1:5" ht="16.5" x14ac:dyDescent="0.25">
      <c r="A162" s="273" t="s">
        <v>605</v>
      </c>
      <c r="B162" s="274" t="s">
        <v>1014</v>
      </c>
      <c r="C162" s="451">
        <f>C156+C115+C35</f>
        <v>8055.0249661784983</v>
      </c>
      <c r="D162" s="492" t="s">
        <v>605</v>
      </c>
      <c r="E162" s="275" t="s">
        <v>605</v>
      </c>
    </row>
    <row r="164" spans="1:5" x14ac:dyDescent="0.25">
      <c r="C164" s="453" t="str">
        <f>"Decan Facultate " &amp; facultate&amp; ", " &amp; decan_facultate</f>
        <v xml:space="preserve">Decan Facultate Electronică și Telecomunicații,  </v>
      </c>
    </row>
    <row r="165" spans="1:5" x14ac:dyDescent="0.25">
      <c r="C165" s="454"/>
    </row>
    <row r="166" spans="1:5" x14ac:dyDescent="0.25">
      <c r="C166" s="453"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616" t="s">
        <v>450</v>
      </c>
      <c r="B2" s="616"/>
      <c r="D2" s="61"/>
      <c r="E2" s="61"/>
    </row>
    <row r="3" spans="1:5" x14ac:dyDescent="0.25">
      <c r="A3" s="617" t="s">
        <v>905</v>
      </c>
      <c r="B3" s="617"/>
      <c r="C3" s="617"/>
      <c r="D3" s="617"/>
      <c r="E3" s="617"/>
    </row>
    <row r="4" spans="1:5" ht="36" customHeight="1" x14ac:dyDescent="0.25">
      <c r="A4" s="565" t="s">
        <v>940</v>
      </c>
      <c r="B4" s="565"/>
      <c r="C4" s="565"/>
      <c r="D4" s="565"/>
      <c r="E4" s="565"/>
    </row>
    <row r="6" spans="1:5" s="60" customFormat="1" ht="13.5" customHeight="1" x14ac:dyDescent="0.25">
      <c r="A6" s="64"/>
      <c r="B6" s="316"/>
      <c r="C6" s="82"/>
      <c r="D6" s="64"/>
      <c r="E6" s="347" t="str">
        <f>CONCATENATE(functie," ",nume_candidat)</f>
        <v>Profesor Lascu Dan</v>
      </c>
    </row>
    <row r="7" spans="1:5" ht="15" customHeight="1" x14ac:dyDescent="0.25">
      <c r="A7" s="556" t="s">
        <v>338</v>
      </c>
      <c r="B7" s="556" t="s">
        <v>1032</v>
      </c>
      <c r="C7" s="556" t="s">
        <v>2</v>
      </c>
      <c r="D7" s="556" t="s">
        <v>460</v>
      </c>
      <c r="E7" s="557" t="s">
        <v>544</v>
      </c>
    </row>
    <row r="8" spans="1:5" ht="54" customHeight="1" x14ac:dyDescent="0.25">
      <c r="A8" s="556"/>
      <c r="B8" s="556"/>
      <c r="C8" s="556"/>
      <c r="D8" s="556"/>
      <c r="E8" s="558"/>
    </row>
    <row r="9" spans="1:5" x14ac:dyDescent="0.25">
      <c r="A9" s="88"/>
      <c r="B9" s="65"/>
      <c r="C9" s="162"/>
      <c r="D9" s="74"/>
      <c r="E9" s="148">
        <f>SUMIF(E10:E1010,"&gt;0")</f>
        <v>0</v>
      </c>
    </row>
    <row r="10" spans="1:5" x14ac:dyDescent="0.25">
      <c r="A10" s="5" t="s">
        <v>40</v>
      </c>
      <c r="B10" s="6"/>
      <c r="C10" s="6"/>
      <c r="D10" s="74"/>
      <c r="E10" s="356" t="str">
        <f t="shared" ref="E10:E73" si="0">IF(OR(,$B10="",$C10="",$C10&lt;an_initial,$C10&gt;an_final,),"",
(30*(D10="expoziție internațională")+20*(D10="expoziție națională")+10*(D10="expoziție locală"))
)</f>
        <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16" t="s">
        <v>450</v>
      </c>
      <c r="B2" s="616"/>
      <c r="D2" s="61"/>
      <c r="E2" s="61"/>
      <c r="F2" s="62"/>
    </row>
    <row r="3" spans="1:7" x14ac:dyDescent="0.25">
      <c r="A3" s="617" t="s">
        <v>905</v>
      </c>
      <c r="B3" s="617"/>
      <c r="C3" s="617"/>
      <c r="D3" s="617"/>
      <c r="E3" s="617"/>
      <c r="F3" s="64"/>
    </row>
    <row r="4" spans="1:7" x14ac:dyDescent="0.25">
      <c r="A4" s="565" t="s">
        <v>941</v>
      </c>
      <c r="B4" s="565"/>
      <c r="C4" s="565"/>
      <c r="D4" s="565"/>
      <c r="E4" s="565"/>
      <c r="F4" s="291"/>
    </row>
    <row r="6" spans="1:7" s="60" customFormat="1" ht="13.5" customHeight="1" x14ac:dyDescent="0.25">
      <c r="A6" s="64"/>
      <c r="B6" s="64"/>
      <c r="C6" s="82"/>
      <c r="D6" s="64"/>
      <c r="E6" s="347" t="str">
        <f>CONCATENATE(functie," ",nume_candidat)</f>
        <v>Profesor Lascu Dan</v>
      </c>
      <c r="F6" s="71"/>
    </row>
    <row r="7" spans="1:7" ht="15" customHeight="1" x14ac:dyDescent="0.25">
      <c r="A7" s="556" t="s">
        <v>338</v>
      </c>
      <c r="B7" s="556" t="s">
        <v>1032</v>
      </c>
      <c r="C7" s="556" t="s">
        <v>2</v>
      </c>
      <c r="D7" s="556" t="s">
        <v>460</v>
      </c>
      <c r="E7" s="557" t="s">
        <v>544</v>
      </c>
      <c r="F7" s="563" t="s">
        <v>541</v>
      </c>
    </row>
    <row r="8" spans="1:7" ht="54" customHeight="1" x14ac:dyDescent="0.25">
      <c r="A8" s="556"/>
      <c r="B8" s="556"/>
      <c r="C8" s="556"/>
      <c r="D8" s="556"/>
      <c r="E8" s="558"/>
      <c r="F8" s="563"/>
      <c r="G8" s="64" t="s">
        <v>461</v>
      </c>
    </row>
    <row r="9" spans="1:7" x14ac:dyDescent="0.25">
      <c r="A9" s="88"/>
      <c r="B9" s="65"/>
      <c r="C9" s="162"/>
      <c r="D9" s="74"/>
      <c r="E9" s="148">
        <f>SUMIF(E10:E1010,"&gt;0")</f>
        <v>0</v>
      </c>
      <c r="F9" s="298"/>
    </row>
    <row r="10" spans="1:7" x14ac:dyDescent="0.25">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16" t="s">
        <v>450</v>
      </c>
      <c r="B2" s="616"/>
      <c r="D2" s="61"/>
      <c r="E2" s="61"/>
      <c r="F2" s="62"/>
    </row>
    <row r="3" spans="1:7" x14ac:dyDescent="0.25">
      <c r="A3" s="617" t="s">
        <v>905</v>
      </c>
      <c r="B3" s="617"/>
      <c r="C3" s="617"/>
      <c r="D3" s="617"/>
      <c r="E3" s="617"/>
      <c r="F3" s="64"/>
    </row>
    <row r="4" spans="1:7" ht="105.75" customHeight="1" x14ac:dyDescent="0.25">
      <c r="A4" s="565" t="s">
        <v>942</v>
      </c>
      <c r="B4" s="565"/>
      <c r="C4" s="565"/>
      <c r="D4" s="565"/>
      <c r="E4" s="565"/>
      <c r="F4" s="291"/>
    </row>
    <row r="5" spans="1:7" s="60" customFormat="1" ht="13.5" customHeight="1" x14ac:dyDescent="0.25">
      <c r="A5" s="64"/>
      <c r="B5" s="64"/>
      <c r="C5" s="82"/>
      <c r="D5" s="64"/>
      <c r="E5" s="347" t="str">
        <f>CONCATENATE(functie," ",nume_candidat)</f>
        <v>Profesor Lascu Dan</v>
      </c>
      <c r="F5" s="71"/>
    </row>
    <row r="6" spans="1:7" ht="15" customHeight="1" x14ac:dyDescent="0.25">
      <c r="A6" s="556" t="s">
        <v>338</v>
      </c>
      <c r="B6" s="556" t="s">
        <v>1033</v>
      </c>
      <c r="C6" s="556" t="s">
        <v>2</v>
      </c>
      <c r="D6" s="556" t="s">
        <v>460</v>
      </c>
      <c r="E6" s="557" t="s">
        <v>544</v>
      </c>
      <c r="F6" s="563" t="s">
        <v>541</v>
      </c>
    </row>
    <row r="7" spans="1:7" ht="54" customHeight="1" x14ac:dyDescent="0.25">
      <c r="A7" s="556"/>
      <c r="B7" s="556"/>
      <c r="C7" s="556"/>
      <c r="D7" s="556"/>
      <c r="E7" s="558"/>
      <c r="F7" s="563"/>
      <c r="G7" s="64" t="s">
        <v>461</v>
      </c>
    </row>
    <row r="8" spans="1:7" x14ac:dyDescent="0.25">
      <c r="A8" s="88"/>
      <c r="B8" s="65"/>
      <c r="C8" s="162"/>
      <c r="D8" s="74"/>
      <c r="E8" s="148">
        <f>SUMIF(E9:E1009,"&gt;0")</f>
        <v>0</v>
      </c>
      <c r="F8" s="298"/>
    </row>
    <row r="9" spans="1:7" x14ac:dyDescent="0.25">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7" sqref="B17"/>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616" t="s">
        <v>450</v>
      </c>
      <c r="B2" s="616"/>
      <c r="D2" s="61"/>
      <c r="E2" s="61"/>
      <c r="F2" s="62"/>
    </row>
    <row r="3" spans="1:7" x14ac:dyDescent="0.25">
      <c r="A3" s="617" t="s">
        <v>905</v>
      </c>
      <c r="B3" s="617"/>
      <c r="C3" s="617"/>
      <c r="D3" s="617"/>
      <c r="E3" s="617"/>
      <c r="F3" s="64"/>
    </row>
    <row r="4" spans="1:7" ht="43.5" customHeight="1" x14ac:dyDescent="0.25">
      <c r="A4" s="565" t="s">
        <v>943</v>
      </c>
      <c r="B4" s="565"/>
      <c r="C4" s="565"/>
      <c r="D4" s="565"/>
      <c r="E4" s="565"/>
      <c r="F4" s="291"/>
    </row>
    <row r="6" spans="1:7" s="60" customFormat="1" ht="13.5" customHeight="1" x14ac:dyDescent="0.25">
      <c r="A6" s="64"/>
      <c r="B6" s="316"/>
      <c r="C6" s="82"/>
      <c r="D6" s="64"/>
      <c r="E6" s="347" t="str">
        <f>CONCATENATE(functie," ",nume_candidat)</f>
        <v>Profesor Lascu Dan</v>
      </c>
      <c r="F6" s="71"/>
    </row>
    <row r="7" spans="1:7" ht="15" customHeight="1" x14ac:dyDescent="0.25">
      <c r="A7" s="556" t="s">
        <v>338</v>
      </c>
      <c r="B7" s="556" t="s">
        <v>1033</v>
      </c>
      <c r="C7" s="556" t="s">
        <v>2</v>
      </c>
      <c r="D7" s="556" t="s">
        <v>460</v>
      </c>
      <c r="E7" s="557" t="s">
        <v>544</v>
      </c>
      <c r="F7" s="563" t="s">
        <v>541</v>
      </c>
    </row>
    <row r="8" spans="1:7" ht="54" customHeight="1" x14ac:dyDescent="0.25">
      <c r="A8" s="556"/>
      <c r="B8" s="556"/>
      <c r="C8" s="556"/>
      <c r="D8" s="556"/>
      <c r="E8" s="558"/>
      <c r="F8" s="563"/>
      <c r="G8" s="64" t="s">
        <v>461</v>
      </c>
    </row>
    <row r="9" spans="1:7" x14ac:dyDescent="0.25">
      <c r="A9" s="88"/>
      <c r="B9" s="65"/>
      <c r="C9" s="162"/>
      <c r="D9" s="74"/>
      <c r="E9" s="148">
        <f>SUMIF(E10:E1010,"&gt;0")</f>
        <v>0</v>
      </c>
      <c r="F9" s="298"/>
    </row>
    <row r="10" spans="1:7" x14ac:dyDescent="0.25">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23" sqref="B23"/>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616" t="s">
        <v>450</v>
      </c>
      <c r="B2" s="616"/>
      <c r="C2" s="62"/>
      <c r="D2" s="61"/>
      <c r="E2" s="61"/>
      <c r="F2" s="62"/>
    </row>
    <row r="3" spans="1:7" x14ac:dyDescent="0.25">
      <c r="A3" s="617" t="s">
        <v>905</v>
      </c>
      <c r="B3" s="617"/>
      <c r="C3" s="617"/>
      <c r="D3" s="617"/>
      <c r="E3" s="617"/>
      <c r="F3" s="64"/>
    </row>
    <row r="4" spans="1:7" ht="43.5" customHeight="1" x14ac:dyDescent="0.25">
      <c r="A4" s="565" t="s">
        <v>944</v>
      </c>
      <c r="B4" s="565"/>
      <c r="C4" s="565"/>
      <c r="D4" s="565"/>
      <c r="E4" s="565"/>
      <c r="F4" s="291"/>
    </row>
    <row r="6" spans="1:7" s="60" customFormat="1" ht="13.5" customHeight="1" x14ac:dyDescent="0.25">
      <c r="A6" s="64"/>
      <c r="B6" s="316"/>
      <c r="C6" s="154"/>
      <c r="D6" s="64"/>
      <c r="E6" s="347" t="str">
        <f>CONCATENATE(functie," ",nume_candidat)</f>
        <v>Profesor Lascu Dan</v>
      </c>
      <c r="F6" s="71"/>
    </row>
    <row r="7" spans="1:7" ht="15" customHeight="1" x14ac:dyDescent="0.25">
      <c r="A7" s="556" t="s">
        <v>338</v>
      </c>
      <c r="B7" s="556" t="s">
        <v>1033</v>
      </c>
      <c r="C7" s="556" t="s">
        <v>2</v>
      </c>
      <c r="D7" s="556" t="s">
        <v>460</v>
      </c>
      <c r="E7" s="557" t="s">
        <v>544</v>
      </c>
      <c r="F7" s="563" t="s">
        <v>541</v>
      </c>
    </row>
    <row r="8" spans="1:7" ht="54" customHeight="1" x14ac:dyDescent="0.25">
      <c r="A8" s="556"/>
      <c r="B8" s="556"/>
      <c r="C8" s="556"/>
      <c r="D8" s="556"/>
      <c r="E8" s="558"/>
      <c r="F8" s="563"/>
      <c r="G8" s="64" t="s">
        <v>461</v>
      </c>
    </row>
    <row r="9" spans="1:7" x14ac:dyDescent="0.25">
      <c r="A9" s="88"/>
      <c r="B9" s="65"/>
      <c r="C9" s="162"/>
      <c r="D9" s="74"/>
      <c r="E9" s="148">
        <f>SUMIF(E10:E1010,"&gt;0")</f>
        <v>0</v>
      </c>
      <c r="F9" s="298"/>
    </row>
    <row r="10" spans="1:7" x14ac:dyDescent="0.25">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80" zoomScaleNormal="80" workbookViewId="0">
      <selection activeCell="D26" sqref="D26"/>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945</v>
      </c>
      <c r="G2" s="61"/>
      <c r="I2" s="63"/>
      <c r="J2" s="289"/>
    </row>
    <row r="3" spans="1:11" s="60" customFormat="1" x14ac:dyDescent="0.2">
      <c r="A3" s="59"/>
      <c r="G3" s="61"/>
      <c r="I3" s="63"/>
      <c r="J3" s="289"/>
    </row>
    <row r="4" spans="1:11" x14ac:dyDescent="0.25">
      <c r="A4" s="559" t="s">
        <v>905</v>
      </c>
      <c r="B4" s="559"/>
      <c r="C4" s="559"/>
      <c r="D4" s="559"/>
      <c r="E4" s="559"/>
      <c r="F4" s="559"/>
      <c r="G4" s="559"/>
      <c r="H4" s="559"/>
      <c r="I4" s="559"/>
      <c r="J4" s="291"/>
    </row>
    <row r="5" spans="1:11" x14ac:dyDescent="0.25">
      <c r="A5" s="559" t="s">
        <v>946</v>
      </c>
      <c r="B5" s="559"/>
      <c r="C5" s="559"/>
      <c r="D5" s="559"/>
      <c r="E5" s="559"/>
      <c r="F5" s="559"/>
      <c r="G5" s="559"/>
      <c r="H5" s="559"/>
      <c r="I5" s="559"/>
    </row>
    <row r="6" spans="1:11" ht="13.5" customHeight="1" x14ac:dyDescent="0.25">
      <c r="G6" s="64"/>
      <c r="I6" s="347" t="str">
        <f>CONCATENATE(functie," ",nume_candidat)</f>
        <v>Profesor Lascu Dan</v>
      </c>
    </row>
    <row r="7" spans="1:11" ht="18.75" customHeight="1" x14ac:dyDescent="0.25">
      <c r="A7" s="556" t="s">
        <v>338</v>
      </c>
      <c r="B7" s="556" t="s">
        <v>0</v>
      </c>
      <c r="C7" s="556" t="s">
        <v>545</v>
      </c>
      <c r="D7" s="556" t="s">
        <v>1054</v>
      </c>
      <c r="E7" s="556" t="s">
        <v>1034</v>
      </c>
      <c r="F7" s="556" t="s">
        <v>16</v>
      </c>
      <c r="G7" s="562" t="s">
        <v>2</v>
      </c>
      <c r="H7" s="556" t="s">
        <v>18</v>
      </c>
      <c r="I7" s="618" t="s">
        <v>544</v>
      </c>
      <c r="J7" s="563" t="s">
        <v>541</v>
      </c>
      <c r="K7" s="564" t="s">
        <v>551</v>
      </c>
    </row>
    <row r="8" spans="1:11" ht="46.5" customHeight="1" x14ac:dyDescent="0.25">
      <c r="A8" s="556"/>
      <c r="B8" s="556"/>
      <c r="C8" s="556"/>
      <c r="D8" s="556"/>
      <c r="E8" s="556"/>
      <c r="F8" s="556"/>
      <c r="G8" s="562"/>
      <c r="H8" s="556"/>
      <c r="I8" s="619"/>
      <c r="J8" s="563"/>
      <c r="K8" s="564"/>
    </row>
    <row r="9" spans="1:11" x14ac:dyDescent="0.25">
      <c r="A9" s="88"/>
      <c r="B9" s="65"/>
      <c r="C9" s="65"/>
      <c r="D9" s="65"/>
      <c r="E9" s="65"/>
      <c r="F9" s="65"/>
      <c r="G9" s="30"/>
      <c r="H9" s="66"/>
      <c r="I9" s="148">
        <f>SUMIF(I10:I1010,"&gt;0")</f>
        <v>0</v>
      </c>
      <c r="J9" s="298"/>
    </row>
    <row r="10" spans="1:11" x14ac:dyDescent="0.25">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25">
      <c r="A11" s="37">
        <v>2</v>
      </c>
      <c r="B11" s="7"/>
      <c r="C11" s="7"/>
      <c r="D11" s="380"/>
      <c r="E11" s="7"/>
      <c r="F11" s="7"/>
      <c r="G11" s="220"/>
      <c r="H11" s="220"/>
      <c r="I11" s="16" t="str">
        <f t="shared" si="0"/>
        <v/>
      </c>
      <c r="J11" s="349" t="b">
        <f t="shared" si="1"/>
        <v>0</v>
      </c>
      <c r="K11" s="350">
        <f t="shared" si="2"/>
        <v>1</v>
      </c>
    </row>
    <row r="12" spans="1:11" x14ac:dyDescent="0.25">
      <c r="A12" s="37">
        <v>3</v>
      </c>
      <c r="B12" s="6"/>
      <c r="C12" s="7"/>
      <c r="D12" s="380"/>
      <c r="E12" s="7"/>
      <c r="F12" s="7"/>
      <c r="G12" s="220"/>
      <c r="H12" s="220"/>
      <c r="I12" s="16" t="str">
        <f t="shared" si="0"/>
        <v/>
      </c>
      <c r="J12" s="349" t="b">
        <f t="shared" si="1"/>
        <v>0</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945</v>
      </c>
      <c r="F2" s="61"/>
      <c r="G2" s="63"/>
      <c r="H2" s="289"/>
    </row>
    <row r="3" spans="1:9" s="60" customFormat="1" x14ac:dyDescent="0.2">
      <c r="A3" s="59"/>
      <c r="F3" s="61"/>
      <c r="G3" s="63"/>
      <c r="H3" s="289"/>
    </row>
    <row r="4" spans="1:9" x14ac:dyDescent="0.25">
      <c r="A4" s="559" t="s">
        <v>905</v>
      </c>
      <c r="B4" s="559"/>
      <c r="C4" s="559"/>
      <c r="D4" s="559"/>
      <c r="E4" s="559"/>
      <c r="F4" s="559"/>
      <c r="G4" s="559"/>
      <c r="H4" s="291"/>
    </row>
    <row r="5" spans="1:9" x14ac:dyDescent="0.25">
      <c r="A5" s="559" t="s">
        <v>950</v>
      </c>
      <c r="B5" s="559"/>
      <c r="C5" s="559"/>
      <c r="D5" s="559"/>
      <c r="E5" s="559"/>
      <c r="F5" s="559"/>
      <c r="G5" s="559"/>
    </row>
    <row r="6" spans="1:9" ht="13.5" customHeight="1" x14ac:dyDescent="0.25">
      <c r="F6" s="64"/>
      <c r="G6" s="347" t="str">
        <f>CONCATENATE(functie," ",nume_candidat)</f>
        <v>Profesor Lascu Dan</v>
      </c>
    </row>
    <row r="7" spans="1:9" ht="18.75" customHeight="1" x14ac:dyDescent="0.25">
      <c r="A7" s="556" t="s">
        <v>338</v>
      </c>
      <c r="B7" s="556" t="s">
        <v>0</v>
      </c>
      <c r="C7" s="556" t="s">
        <v>955</v>
      </c>
      <c r="D7" s="556" t="s">
        <v>1055</v>
      </c>
      <c r="E7" s="556" t="s">
        <v>1027</v>
      </c>
      <c r="F7" s="562" t="s">
        <v>2</v>
      </c>
      <c r="G7" s="618" t="s">
        <v>544</v>
      </c>
      <c r="H7" s="563" t="s">
        <v>541</v>
      </c>
      <c r="I7" s="564" t="s">
        <v>551</v>
      </c>
    </row>
    <row r="8" spans="1:9" ht="46.5" customHeight="1" x14ac:dyDescent="0.25">
      <c r="A8" s="556"/>
      <c r="B8" s="556"/>
      <c r="C8" s="556"/>
      <c r="D8" s="556"/>
      <c r="E8" s="556"/>
      <c r="F8" s="562"/>
      <c r="G8" s="619"/>
      <c r="H8" s="563"/>
      <c r="I8" s="564"/>
    </row>
    <row r="9" spans="1:9" x14ac:dyDescent="0.25">
      <c r="A9" s="88"/>
      <c r="B9" s="65"/>
      <c r="C9" s="65"/>
      <c r="D9" s="65"/>
      <c r="E9" s="65"/>
      <c r="F9" s="30"/>
      <c r="G9" s="148">
        <f>SUMIF(G10:G1010,"&gt;0")</f>
        <v>0</v>
      </c>
      <c r="H9" s="298"/>
    </row>
    <row r="10" spans="1:9" x14ac:dyDescent="0.25">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25">
      <c r="A11" s="37">
        <v>2</v>
      </c>
      <c r="B11" s="7"/>
      <c r="C11" s="7"/>
      <c r="D11" s="380"/>
      <c r="E11" s="7"/>
      <c r="F11" s="220"/>
      <c r="G11" s="16" t="str">
        <f t="shared" si="0"/>
        <v/>
      </c>
      <c r="H11" s="349" t="b">
        <f t="shared" si="1"/>
        <v>0</v>
      </c>
      <c r="I11" s="350">
        <f t="shared" si="2"/>
        <v>1</v>
      </c>
    </row>
    <row r="12" spans="1:9" x14ac:dyDescent="0.25">
      <c r="A12" s="37">
        <v>3</v>
      </c>
      <c r="B12" s="6"/>
      <c r="C12" s="7"/>
      <c r="D12" s="380"/>
      <c r="E12" s="7"/>
      <c r="F12" s="220"/>
      <c r="G12" s="16" t="str">
        <f t="shared" si="0"/>
        <v/>
      </c>
      <c r="H12" s="349" t="b">
        <f t="shared" si="1"/>
        <v>0</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27" sqref="B27"/>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945</v>
      </c>
      <c r="C2" s="61"/>
      <c r="D2" s="63"/>
      <c r="E2" s="289"/>
    </row>
    <row r="3" spans="1:6" s="60" customFormat="1" x14ac:dyDescent="0.2">
      <c r="A3" s="59"/>
      <c r="C3" s="61"/>
      <c r="D3" s="63"/>
      <c r="E3" s="289"/>
    </row>
    <row r="4" spans="1:6" x14ac:dyDescent="0.25">
      <c r="A4" s="559" t="s">
        <v>905</v>
      </c>
      <c r="B4" s="559"/>
      <c r="C4" s="559"/>
      <c r="D4" s="559"/>
      <c r="E4" s="291"/>
    </row>
    <row r="5" spans="1:6" ht="57" customHeight="1" x14ac:dyDescent="0.25">
      <c r="A5" s="565" t="s">
        <v>957</v>
      </c>
      <c r="B5" s="565"/>
      <c r="C5" s="565"/>
      <c r="D5" s="565"/>
    </row>
    <row r="6" spans="1:6" ht="13.5" customHeight="1" x14ac:dyDescent="0.25">
      <c r="C6" s="64"/>
      <c r="D6" s="347" t="str">
        <f>CONCATENATE(functie," ",nume_candidat)</f>
        <v>Profesor Lascu Dan</v>
      </c>
    </row>
    <row r="7" spans="1:6" ht="18.75" customHeight="1" x14ac:dyDescent="0.25">
      <c r="A7" s="556" t="s">
        <v>338</v>
      </c>
      <c r="B7" s="556" t="s">
        <v>891</v>
      </c>
      <c r="C7" s="562" t="s">
        <v>2</v>
      </c>
      <c r="D7" s="618" t="s">
        <v>544</v>
      </c>
      <c r="E7" s="563" t="s">
        <v>541</v>
      </c>
      <c r="F7" s="564" t="s">
        <v>551</v>
      </c>
    </row>
    <row r="8" spans="1:6" ht="46.5" customHeight="1" x14ac:dyDescent="0.25">
      <c r="A8" s="556"/>
      <c r="B8" s="556"/>
      <c r="C8" s="562"/>
      <c r="D8" s="619"/>
      <c r="E8" s="563"/>
      <c r="F8" s="564"/>
    </row>
    <row r="9" spans="1:6" x14ac:dyDescent="0.25">
      <c r="A9" s="88"/>
      <c r="B9" s="65"/>
      <c r="C9" s="30"/>
      <c r="D9" s="148">
        <f>SUMIF(D10:D1010,"&gt;0")</f>
        <v>0</v>
      </c>
      <c r="E9" s="298"/>
    </row>
    <row r="10" spans="1:6" x14ac:dyDescent="0.25">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25">
      <c r="A11" s="37">
        <v>2</v>
      </c>
      <c r="B11" s="7"/>
      <c r="C11" s="220"/>
      <c r="D11" s="16" t="str">
        <f t="shared" si="0"/>
        <v/>
      </c>
      <c r="E11" s="349" t="b">
        <f t="shared" si="1"/>
        <v>0</v>
      </c>
      <c r="F11" s="350">
        <f t="shared" si="2"/>
        <v>1</v>
      </c>
    </row>
    <row r="12" spans="1:6" x14ac:dyDescent="0.25">
      <c r="A12" s="37">
        <v>3</v>
      </c>
      <c r="B12" s="6"/>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C25" sqref="C25"/>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945</v>
      </c>
      <c r="E2" s="61"/>
      <c r="G2" s="63"/>
      <c r="H2" s="289"/>
    </row>
    <row r="3" spans="1:9" s="60" customFormat="1" x14ac:dyDescent="0.2">
      <c r="A3" s="59"/>
      <c r="E3" s="61"/>
      <c r="G3" s="63"/>
      <c r="H3" s="289"/>
    </row>
    <row r="4" spans="1:9" x14ac:dyDescent="0.25">
      <c r="A4" s="559" t="s">
        <v>905</v>
      </c>
      <c r="B4" s="559"/>
      <c r="C4" s="559"/>
      <c r="D4" s="559"/>
      <c r="E4" s="559"/>
      <c r="F4" s="559"/>
      <c r="G4" s="559"/>
      <c r="H4" s="291"/>
    </row>
    <row r="5" spans="1:9" x14ac:dyDescent="0.25">
      <c r="A5" s="559" t="s">
        <v>956</v>
      </c>
      <c r="B5" s="559"/>
      <c r="C5" s="559"/>
      <c r="D5" s="559"/>
      <c r="E5" s="559"/>
      <c r="F5" s="559"/>
      <c r="G5" s="559"/>
    </row>
    <row r="6" spans="1:9" ht="13.5" customHeight="1" x14ac:dyDescent="0.25">
      <c r="E6" s="64"/>
      <c r="G6" s="347" t="str">
        <f>CONCATENATE(functie," ",nume_candidat)</f>
        <v>Profesor Lascu Dan</v>
      </c>
    </row>
    <row r="7" spans="1:9" ht="18.75" customHeight="1" x14ac:dyDescent="0.25">
      <c r="A7" s="556" t="s">
        <v>338</v>
      </c>
      <c r="B7" s="556" t="s">
        <v>962</v>
      </c>
      <c r="C7" s="556" t="s">
        <v>891</v>
      </c>
      <c r="D7" s="556" t="s">
        <v>460</v>
      </c>
      <c r="E7" s="562" t="s">
        <v>2</v>
      </c>
      <c r="F7" s="556" t="s">
        <v>963</v>
      </c>
      <c r="G7" s="618" t="s">
        <v>544</v>
      </c>
      <c r="H7" s="563" t="s">
        <v>541</v>
      </c>
      <c r="I7" s="564" t="s">
        <v>551</v>
      </c>
    </row>
    <row r="8" spans="1:9" ht="46.5" customHeight="1" x14ac:dyDescent="0.25">
      <c r="A8" s="556"/>
      <c r="B8" s="556"/>
      <c r="C8" s="556"/>
      <c r="D8" s="556"/>
      <c r="E8" s="562"/>
      <c r="F8" s="556"/>
      <c r="G8" s="619"/>
      <c r="H8" s="563"/>
      <c r="I8" s="564"/>
    </row>
    <row r="9" spans="1:9" x14ac:dyDescent="0.25">
      <c r="A9" s="88"/>
      <c r="B9" s="65"/>
      <c r="C9" s="65"/>
      <c r="D9" s="65"/>
      <c r="E9" s="30"/>
      <c r="F9" s="66"/>
      <c r="G9" s="148">
        <f>SUMIF(G10:G1010,"&gt;0")</f>
        <v>0</v>
      </c>
      <c r="H9" s="298"/>
    </row>
    <row r="10" spans="1:9" x14ac:dyDescent="0.25">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25">
      <c r="A11" s="37">
        <v>2</v>
      </c>
      <c r="B11" s="7"/>
      <c r="C11" s="7"/>
      <c r="D11" s="7"/>
      <c r="E11" s="220"/>
      <c r="F11" s="220"/>
      <c r="G11" s="16" t="str">
        <f t="shared" si="0"/>
        <v/>
      </c>
      <c r="H11" s="349" t="b">
        <f t="shared" si="1"/>
        <v>0</v>
      </c>
      <c r="I11" s="350">
        <f t="shared" si="2"/>
        <v>1</v>
      </c>
    </row>
    <row r="12" spans="1:9" x14ac:dyDescent="0.25">
      <c r="A12" s="37">
        <v>3</v>
      </c>
      <c r="B12" s="6"/>
      <c r="C12" s="7"/>
      <c r="D12" s="7"/>
      <c r="E12" s="220"/>
      <c r="F12" s="220"/>
      <c r="G12" s="16" t="str">
        <f t="shared" si="0"/>
        <v/>
      </c>
      <c r="H12" s="349" t="b">
        <f t="shared" si="1"/>
        <v>0</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D22" sqref="D22"/>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739</v>
      </c>
      <c r="E2" s="61"/>
      <c r="F2" s="63"/>
      <c r="G2" s="289"/>
      <c r="I2" s="63"/>
      <c r="J2" s="63"/>
    </row>
    <row r="3" spans="1:10" s="60" customFormat="1" x14ac:dyDescent="0.2">
      <c r="A3" s="59"/>
      <c r="E3" s="61"/>
      <c r="F3" s="63"/>
      <c r="G3" s="289"/>
      <c r="I3" s="63"/>
      <c r="J3" s="63"/>
    </row>
    <row r="4" spans="1:10" x14ac:dyDescent="0.25">
      <c r="A4" s="559" t="s">
        <v>905</v>
      </c>
      <c r="B4" s="559"/>
      <c r="C4" s="559"/>
      <c r="D4" s="559"/>
      <c r="E4" s="559"/>
      <c r="F4" s="559"/>
      <c r="G4" s="291"/>
    </row>
    <row r="5" spans="1:10" x14ac:dyDescent="0.25">
      <c r="A5" s="559" t="s">
        <v>964</v>
      </c>
      <c r="B5" s="559"/>
      <c r="C5" s="559"/>
      <c r="D5" s="559"/>
      <c r="E5" s="559"/>
      <c r="F5" s="559"/>
    </row>
    <row r="6" spans="1:10" ht="13.5" customHeight="1" x14ac:dyDescent="0.25">
      <c r="E6" s="64"/>
      <c r="F6" s="347" t="str">
        <f>CONCATENATE(functie," ",nume_candidat)</f>
        <v>Profesor Lascu Dan</v>
      </c>
      <c r="I6" s="347" t="str">
        <f>CONCATENATE(functie," ",nume_candidat)</f>
        <v>Profesor Lascu Dan</v>
      </c>
      <c r="J6" s="347" t="str">
        <f>CONCATENATE(functie," ",nume_candidat)</f>
        <v>Profesor Lascu Dan</v>
      </c>
    </row>
    <row r="7" spans="1:10" ht="18.75" customHeight="1" x14ac:dyDescent="0.25">
      <c r="A7" s="556" t="s">
        <v>338</v>
      </c>
      <c r="B7" s="556" t="s">
        <v>452</v>
      </c>
      <c r="C7" s="556" t="s">
        <v>965</v>
      </c>
      <c r="D7" s="556" t="s">
        <v>460</v>
      </c>
      <c r="E7" s="562" t="s">
        <v>2</v>
      </c>
      <c r="F7" s="618" t="s">
        <v>544</v>
      </c>
      <c r="G7" s="563" t="s">
        <v>541</v>
      </c>
      <c r="H7" s="564" t="s">
        <v>551</v>
      </c>
      <c r="I7" s="618" t="s">
        <v>966</v>
      </c>
      <c r="J7" s="618" t="s">
        <v>967</v>
      </c>
    </row>
    <row r="8" spans="1:10" ht="46.5" customHeight="1" x14ac:dyDescent="0.25">
      <c r="A8" s="556"/>
      <c r="B8" s="556"/>
      <c r="C8" s="556"/>
      <c r="D8" s="556"/>
      <c r="E8" s="562"/>
      <c r="F8" s="619"/>
      <c r="G8" s="563"/>
      <c r="H8" s="564"/>
      <c r="I8" s="619"/>
      <c r="J8" s="619"/>
    </row>
    <row r="9" spans="1:10" x14ac:dyDescent="0.25">
      <c r="A9" s="88"/>
      <c r="B9" s="65"/>
      <c r="C9" s="65"/>
      <c r="D9" s="65"/>
      <c r="E9" s="30"/>
      <c r="F9" s="148">
        <f>SUMIF(F10:F1010,"&gt;0")</f>
        <v>0</v>
      </c>
      <c r="G9" s="298"/>
      <c r="I9" s="148">
        <f>SUMIF(I10:I1110,"&gt;0")</f>
        <v>0</v>
      </c>
      <c r="J9" s="148">
        <f>SUMIF(J10:J1110,"&gt;0")</f>
        <v>0</v>
      </c>
    </row>
    <row r="10" spans="1:10" x14ac:dyDescent="0.25">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25">
      <c r="A11" s="37">
        <v>2</v>
      </c>
      <c r="B11" s="7"/>
      <c r="C11" s="216"/>
      <c r="D11" s="7"/>
      <c r="E11" s="220"/>
      <c r="F11" s="16" t="str">
        <f t="shared" si="0"/>
        <v/>
      </c>
      <c r="G11" s="349" t="b">
        <f t="shared" si="1"/>
        <v>0</v>
      </c>
      <c r="H11" s="350">
        <f t="shared" si="2"/>
        <v>1</v>
      </c>
      <c r="I11" s="382" t="str">
        <f t="shared" si="3"/>
        <v/>
      </c>
      <c r="J11" s="382" t="str">
        <f t="shared" si="4"/>
        <v/>
      </c>
    </row>
    <row r="12" spans="1:10" x14ac:dyDescent="0.25">
      <c r="A12" s="37">
        <v>3</v>
      </c>
      <c r="B12" s="6"/>
      <c r="C12" s="216"/>
      <c r="D12" s="7"/>
      <c r="E12" s="220"/>
      <c r="F12" s="16" t="str">
        <f t="shared" si="0"/>
        <v/>
      </c>
      <c r="G12" s="349" t="b">
        <f t="shared" si="1"/>
        <v>0</v>
      </c>
      <c r="H12" s="350">
        <f t="shared" si="2"/>
        <v>1</v>
      </c>
      <c r="I12" s="382" t="str">
        <f t="shared" si="3"/>
        <v/>
      </c>
      <c r="J12" s="382" t="str">
        <f t="shared" si="4"/>
        <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80" zoomScaleNormal="80" workbookViewId="0">
      <selection activeCell="B10" sqref="B10:G10"/>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616" t="s">
        <v>424</v>
      </c>
      <c r="B2" s="616"/>
      <c r="C2" s="616"/>
      <c r="E2" s="61"/>
      <c r="F2" s="61"/>
      <c r="H2" s="62"/>
      <c r="J2" s="62"/>
      <c r="M2" s="289"/>
      <c r="N2" s="289"/>
      <c r="O2" s="289"/>
      <c r="P2" s="289"/>
    </row>
    <row r="3" spans="1:16" s="64" customFormat="1" ht="15.75" x14ac:dyDescent="0.25">
      <c r="A3" s="559" t="s">
        <v>905</v>
      </c>
      <c r="B3" s="559"/>
      <c r="C3" s="559"/>
      <c r="D3" s="559"/>
      <c r="E3" s="559"/>
      <c r="F3" s="559"/>
      <c r="G3" s="291"/>
    </row>
    <row r="4" spans="1:16" ht="15.75" x14ac:dyDescent="0.25">
      <c r="A4" s="565" t="s">
        <v>968</v>
      </c>
      <c r="B4" s="565"/>
      <c r="C4" s="565"/>
      <c r="D4" s="565"/>
      <c r="E4" s="565"/>
      <c r="F4" s="565"/>
      <c r="G4" s="565"/>
      <c r="H4" s="49"/>
    </row>
    <row r="6" spans="1:16" ht="15.75" x14ac:dyDescent="0.25">
      <c r="H6" s="347" t="str">
        <f>CONCATENATE(functie," ",nume_candidat)</f>
        <v>Profesor Lascu Dan</v>
      </c>
    </row>
    <row r="7" spans="1:16" ht="15.75" customHeight="1" x14ac:dyDescent="0.25">
      <c r="A7" s="556" t="s">
        <v>338</v>
      </c>
      <c r="B7" s="556" t="s">
        <v>426</v>
      </c>
      <c r="C7" s="556" t="s">
        <v>437</v>
      </c>
      <c r="D7" s="562" t="s">
        <v>425</v>
      </c>
      <c r="E7" s="556" t="s">
        <v>439</v>
      </c>
      <c r="F7" s="562" t="s">
        <v>442</v>
      </c>
      <c r="G7" s="562" t="s">
        <v>438</v>
      </c>
      <c r="H7" s="620" t="s">
        <v>13</v>
      </c>
    </row>
    <row r="8" spans="1:16" ht="15" customHeight="1" x14ac:dyDescent="0.25">
      <c r="A8" s="556"/>
      <c r="B8" s="556"/>
      <c r="C8" s="556"/>
      <c r="D8" s="562"/>
      <c r="E8" s="556"/>
      <c r="F8" s="562"/>
      <c r="G8" s="562"/>
      <c r="H8" s="620"/>
    </row>
    <row r="9" spans="1:16" ht="15.75" x14ac:dyDescent="0.25">
      <c r="A9" s="330"/>
      <c r="G9" s="89" t="s">
        <v>453</v>
      </c>
      <c r="H9" s="352">
        <f>SUM(H10:H29)</f>
        <v>0</v>
      </c>
    </row>
    <row r="10" spans="1:16" ht="15.75" x14ac:dyDescent="0.2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3"/>
  <sheetViews>
    <sheetView zoomScale="80" zoomScaleNormal="80" workbookViewId="0">
      <selection activeCell="B21" sqref="B21"/>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Electronică și Telecomunicații</v>
      </c>
      <c r="E2" s="393"/>
      <c r="F2" s="61"/>
      <c r="G2" s="63"/>
      <c r="H2" s="62"/>
      <c r="I2" s="289"/>
    </row>
    <row r="3" spans="1:9" s="60" customFormat="1" ht="15.75" x14ac:dyDescent="0.2">
      <c r="A3" s="346" t="str">
        <f>IF(ISBLANK(departament),"","Departamentul " &amp; departament)</f>
        <v>Departamentul Electronică Aplicată</v>
      </c>
      <c r="E3" s="393"/>
      <c r="F3" s="61"/>
      <c r="G3" s="63"/>
      <c r="H3" s="62"/>
      <c r="I3" s="289"/>
    </row>
    <row r="4" spans="1:9" s="64" customFormat="1" ht="15.75" x14ac:dyDescent="0.25">
      <c r="B4" s="290"/>
      <c r="C4" s="384"/>
      <c r="D4" s="290" t="s">
        <v>905</v>
      </c>
      <c r="E4" s="385"/>
      <c r="F4" s="290"/>
      <c r="G4" s="290"/>
      <c r="H4" s="226"/>
      <c r="I4" s="291"/>
    </row>
    <row r="5" spans="1:9" s="64" customFormat="1" ht="15.75" x14ac:dyDescent="0.25">
      <c r="B5" s="290"/>
      <c r="C5" s="384"/>
      <c r="D5" s="290" t="s">
        <v>969</v>
      </c>
      <c r="E5" s="385"/>
      <c r="F5" s="290"/>
      <c r="G5" s="290"/>
      <c r="H5" s="226"/>
      <c r="I5" s="71"/>
    </row>
    <row r="6" spans="1:9" s="64" customFormat="1" ht="13.5" customHeight="1" x14ac:dyDescent="0.25">
      <c r="A6" s="60"/>
      <c r="E6" s="398" t="str">
        <f>CONCATENATE(functie," ",nume_candidat)</f>
        <v>Profesor Lascu Dan</v>
      </c>
      <c r="H6" s="70"/>
      <c r="I6" s="71"/>
    </row>
    <row r="7" spans="1:9" ht="15" customHeight="1" x14ac:dyDescent="0.25">
      <c r="B7" s="567" t="s">
        <v>891</v>
      </c>
      <c r="C7" s="622" t="s">
        <v>14</v>
      </c>
      <c r="D7" s="623"/>
      <c r="E7" s="557" t="s">
        <v>544</v>
      </c>
    </row>
    <row r="8" spans="1:9" ht="15" customHeight="1" x14ac:dyDescent="0.25">
      <c r="B8" s="568"/>
      <c r="C8" s="624"/>
      <c r="D8" s="625"/>
      <c r="E8" s="574"/>
    </row>
    <row r="9" spans="1:9" ht="15" customHeight="1" x14ac:dyDescent="0.25">
      <c r="B9" s="568"/>
      <c r="C9" s="624"/>
      <c r="D9" s="625"/>
      <c r="E9" s="574"/>
    </row>
    <row r="10" spans="1:9" ht="15.75" customHeight="1" x14ac:dyDescent="0.25">
      <c r="B10" s="569"/>
      <c r="C10" s="626"/>
      <c r="D10" s="627"/>
      <c r="E10" s="558"/>
    </row>
    <row r="11" spans="1:9" ht="47.25" x14ac:dyDescent="0.25">
      <c r="B11" s="419" t="s">
        <v>741</v>
      </c>
      <c r="C11" s="614">
        <v>1</v>
      </c>
      <c r="D11" s="615"/>
      <c r="E11" s="351">
        <f>C11*200</f>
        <v>200</v>
      </c>
    </row>
    <row r="12" spans="1:9" ht="47.25" x14ac:dyDescent="0.25">
      <c r="B12" s="419" t="s">
        <v>1081</v>
      </c>
      <c r="C12" s="614">
        <v>4</v>
      </c>
      <c r="D12" s="615"/>
      <c r="E12" s="351">
        <f>C12*50</f>
        <v>200</v>
      </c>
    </row>
    <row r="13" spans="1:9" ht="31.5" x14ac:dyDescent="0.25">
      <c r="B13" s="419" t="s">
        <v>970</v>
      </c>
      <c r="C13" s="614">
        <v>1</v>
      </c>
      <c r="D13" s="615"/>
      <c r="E13" s="351">
        <f>C13*100</f>
        <v>100</v>
      </c>
      <c r="G13" s="409"/>
    </row>
    <row r="14" spans="1:9" ht="31.5" x14ac:dyDescent="0.25">
      <c r="B14" s="419" t="s">
        <v>742</v>
      </c>
      <c r="C14" s="614">
        <v>1</v>
      </c>
      <c r="D14" s="615"/>
      <c r="E14" s="351">
        <f>C14*5</f>
        <v>5</v>
      </c>
    </row>
    <row r="15" spans="1:9" ht="15.75" x14ac:dyDescent="0.25">
      <c r="B15" s="614" t="s">
        <v>932</v>
      </c>
      <c r="C15" s="621"/>
      <c r="D15" s="615"/>
      <c r="E15" s="351">
        <f>SUM(E11:E14)</f>
        <v>505</v>
      </c>
    </row>
    <row r="18" spans="2:5" ht="15" customHeight="1" x14ac:dyDescent="0.25">
      <c r="B18" s="396" t="s">
        <v>1037</v>
      </c>
      <c r="C18" s="387" t="s">
        <v>1035</v>
      </c>
      <c r="D18" s="388" t="s">
        <v>1038</v>
      </c>
      <c r="E18" s="397" t="s">
        <v>1036</v>
      </c>
    </row>
    <row r="19" spans="2:5" ht="30.95" customHeight="1" x14ac:dyDescent="0.25">
      <c r="B19" s="394" t="s">
        <v>1398</v>
      </c>
      <c r="C19" s="37">
        <v>2015</v>
      </c>
      <c r="D19" s="386">
        <v>2019</v>
      </c>
      <c r="E19" s="395" t="s">
        <v>1040</v>
      </c>
    </row>
    <row r="20" spans="2:5" ht="30.95" customHeight="1" x14ac:dyDescent="0.25">
      <c r="B20" s="394" t="s">
        <v>1399</v>
      </c>
      <c r="C20" s="37">
        <v>2018</v>
      </c>
      <c r="D20" s="386"/>
      <c r="E20" s="395" t="s">
        <v>1041</v>
      </c>
    </row>
    <row r="21" spans="2:5" ht="30.95" customHeight="1" x14ac:dyDescent="0.25">
      <c r="B21" s="394" t="s">
        <v>1400</v>
      </c>
      <c r="C21" s="37">
        <v>2017</v>
      </c>
      <c r="D21" s="386"/>
      <c r="E21" s="395" t="s">
        <v>1041</v>
      </c>
    </row>
    <row r="22" spans="2:5" ht="31.5" x14ac:dyDescent="0.25">
      <c r="B22" s="521" t="s">
        <v>1401</v>
      </c>
      <c r="C22" s="520">
        <v>2017</v>
      </c>
      <c r="D22" s="520"/>
      <c r="E22" s="522" t="s">
        <v>1041</v>
      </c>
    </row>
    <row r="23" spans="2:5" ht="31.5" x14ac:dyDescent="0.25">
      <c r="B23" s="521" t="s">
        <v>1402</v>
      </c>
      <c r="C23" s="520">
        <v>2012</v>
      </c>
      <c r="D23" s="520"/>
      <c r="E23" s="522" t="s">
        <v>1041</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C22" sqref="C22"/>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x14ac:dyDescent="0.2">
      <c r="A3" s="346" t="str">
        <f>IF(ISBLANK(departament),"","Departamentul " &amp; departament)</f>
        <v>Departamentul Electronică Aplicată</v>
      </c>
      <c r="B3" s="59"/>
      <c r="C3" s="59"/>
      <c r="E3" s="61"/>
      <c r="F3" s="63"/>
      <c r="G3" s="62"/>
      <c r="H3" s="63"/>
      <c r="I3" s="63"/>
      <c r="J3" s="63"/>
    </row>
    <row r="4" spans="1:10" x14ac:dyDescent="0.25">
      <c r="A4" s="559" t="s">
        <v>905</v>
      </c>
      <c r="B4" s="559"/>
      <c r="C4" s="559"/>
      <c r="D4" s="559"/>
      <c r="E4" s="559"/>
      <c r="F4" s="559"/>
      <c r="G4" s="559"/>
    </row>
    <row r="5" spans="1:10" x14ac:dyDescent="0.25">
      <c r="A5" s="559" t="s">
        <v>979</v>
      </c>
      <c r="B5" s="559"/>
      <c r="C5" s="559"/>
      <c r="D5" s="559"/>
      <c r="E5" s="559"/>
      <c r="F5" s="559"/>
      <c r="G5" s="226"/>
    </row>
    <row r="6" spans="1:10" ht="13.5" customHeight="1" x14ac:dyDescent="0.25">
      <c r="E6" s="64"/>
      <c r="F6" s="347" t="str">
        <f>CONCATENATE(functie," ",nume_candidat)</f>
        <v>Profesor Lascu Dan</v>
      </c>
      <c r="H6" s="347"/>
      <c r="I6" s="347"/>
      <c r="J6" s="347"/>
    </row>
    <row r="7" spans="1:10" ht="18.75" customHeight="1" x14ac:dyDescent="0.25">
      <c r="A7" s="557" t="s">
        <v>338</v>
      </c>
      <c r="B7" s="557" t="s">
        <v>977</v>
      </c>
      <c r="C7" s="557" t="s">
        <v>1056</v>
      </c>
      <c r="D7" s="557" t="s">
        <v>978</v>
      </c>
      <c r="E7" s="567" t="s">
        <v>2</v>
      </c>
      <c r="F7" s="557" t="s">
        <v>544</v>
      </c>
      <c r="G7" s="557" t="s">
        <v>4</v>
      </c>
      <c r="H7" s="557" t="s">
        <v>544</v>
      </c>
      <c r="I7" s="557" t="s">
        <v>544</v>
      </c>
      <c r="J7" s="557" t="s">
        <v>544</v>
      </c>
    </row>
    <row r="8" spans="1:10" ht="18.75" customHeight="1" x14ac:dyDescent="0.25">
      <c r="A8" s="574"/>
      <c r="B8" s="574"/>
      <c r="C8" s="574"/>
      <c r="D8" s="574"/>
      <c r="E8" s="568"/>
      <c r="F8" s="574"/>
      <c r="G8" s="574"/>
      <c r="H8" s="574"/>
      <c r="I8" s="574"/>
      <c r="J8" s="574"/>
    </row>
    <row r="9" spans="1:10" ht="18.75" customHeight="1" x14ac:dyDescent="0.25">
      <c r="A9" s="574"/>
      <c r="B9" s="574"/>
      <c r="C9" s="574"/>
      <c r="D9" s="574"/>
      <c r="E9" s="568"/>
      <c r="F9" s="558"/>
      <c r="G9" s="558"/>
      <c r="H9" s="558"/>
      <c r="I9" s="558"/>
      <c r="J9" s="558"/>
    </row>
    <row r="10" spans="1:10" ht="18.75" customHeight="1" x14ac:dyDescent="0.25">
      <c r="A10" s="558"/>
      <c r="B10" s="558"/>
      <c r="C10" s="558"/>
      <c r="D10" s="558"/>
      <c r="E10" s="569"/>
      <c r="F10" s="348" t="str">
        <f>CONCATENATE("ultimii ",durata_evaluare," ani")</f>
        <v>ultimii 5 ani</v>
      </c>
      <c r="G10" s="503" t="str">
        <f>CONCATENATE("ultimii ",durata_evaluare," ani")</f>
        <v>ultimii 5 ani</v>
      </c>
      <c r="H10" s="430" t="str">
        <f>CONCATENATE("ultimii ",durata_evaluare," ani")</f>
        <v>ultimii 5 ani</v>
      </c>
      <c r="I10" s="430" t="str">
        <f>CONCATENATE("ultimii ",durata_evaluare," ani")</f>
        <v>ultimii 5 ani</v>
      </c>
      <c r="J10" s="430" t="str">
        <f>CONCATENATE("ultimii ",durata_evaluare," ani")</f>
        <v>ultimii 5 ani</v>
      </c>
    </row>
    <row r="11" spans="1:10" x14ac:dyDescent="0.25">
      <c r="A11" s="88"/>
      <c r="B11" s="66"/>
      <c r="C11" s="66"/>
      <c r="D11" s="65"/>
      <c r="E11" s="30"/>
      <c r="F11" s="148">
        <f>SUMIF(F12:F1012,"&gt;0")</f>
        <v>0</v>
      </c>
      <c r="G11" s="4">
        <f>SUMIF(G12:G1110,"&gt;0")</f>
        <v>0</v>
      </c>
      <c r="H11" s="148">
        <f>SUMIF(H12:H1110,"&gt;0")</f>
        <v>0</v>
      </c>
      <c r="I11" s="148">
        <f>SUMIF(I12:I1110,"&gt;0")</f>
        <v>0</v>
      </c>
      <c r="J11" s="148">
        <f>SUMIF(J12:J1110,"&gt;0")</f>
        <v>0</v>
      </c>
    </row>
    <row r="12" spans="1:10" x14ac:dyDescent="0.25">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25">
      <c r="A13" s="37">
        <v>2</v>
      </c>
      <c r="B13" s="163"/>
      <c r="C13" s="163"/>
      <c r="D13" s="7"/>
      <c r="E13" s="220"/>
      <c r="F13" s="16" t="str">
        <f t="shared" si="0"/>
        <v/>
      </c>
      <c r="G13" s="58" t="str">
        <f t="shared" si="1"/>
        <v/>
      </c>
      <c r="H13" s="382" t="str">
        <f t="shared" si="2"/>
        <v/>
      </c>
      <c r="I13" s="382" t="str">
        <f t="shared" si="3"/>
        <v/>
      </c>
      <c r="J13" s="382" t="str">
        <f t="shared" si="4"/>
        <v/>
      </c>
    </row>
    <row r="14" spans="1:10" x14ac:dyDescent="0.25">
      <c r="A14" s="37">
        <v>3</v>
      </c>
      <c r="B14" s="163"/>
      <c r="C14" s="163"/>
      <c r="D14" s="7"/>
      <c r="E14" s="220"/>
      <c r="F14" s="16" t="str">
        <f t="shared" si="0"/>
        <v/>
      </c>
      <c r="G14" s="58" t="str">
        <f t="shared" si="1"/>
        <v/>
      </c>
      <c r="H14" s="382" t="str">
        <f t="shared" si="2"/>
        <v/>
      </c>
      <c r="I14" s="382" t="str">
        <f t="shared" si="3"/>
        <v/>
      </c>
      <c r="J14" s="382" t="str">
        <f t="shared" si="4"/>
        <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M13" sqref="M13"/>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Electronică Aplicată</v>
      </c>
      <c r="D3" s="61"/>
      <c r="E3" s="63"/>
      <c r="F3" s="289"/>
      <c r="H3" s="63"/>
      <c r="I3" s="63"/>
    </row>
    <row r="4" spans="1:9" x14ac:dyDescent="0.25">
      <c r="A4" s="559" t="s">
        <v>905</v>
      </c>
      <c r="B4" s="559"/>
      <c r="C4" s="559"/>
      <c r="D4" s="559"/>
      <c r="E4" s="559"/>
      <c r="F4" s="291"/>
    </row>
    <row r="5" spans="1:9" x14ac:dyDescent="0.25">
      <c r="A5" s="559" t="s">
        <v>991</v>
      </c>
      <c r="B5" s="559"/>
      <c r="C5" s="559"/>
      <c r="D5" s="559"/>
      <c r="E5" s="559"/>
    </row>
    <row r="6" spans="1:9" ht="13.5" customHeight="1" x14ac:dyDescent="0.25">
      <c r="D6" s="64"/>
      <c r="E6" s="347" t="str">
        <f>CONCATENATE(functie," ",nume_candidat)</f>
        <v>Profesor Lascu Dan</v>
      </c>
      <c r="H6" s="347"/>
      <c r="I6" s="347"/>
    </row>
    <row r="7" spans="1:9" ht="18.75" customHeight="1" x14ac:dyDescent="0.25">
      <c r="A7" s="556" t="s">
        <v>338</v>
      </c>
      <c r="B7" s="556" t="s">
        <v>1044</v>
      </c>
      <c r="C7" s="556" t="s">
        <v>460</v>
      </c>
      <c r="D7" s="562" t="s">
        <v>2</v>
      </c>
      <c r="E7" s="618" t="s">
        <v>544</v>
      </c>
      <c r="F7" s="563" t="s">
        <v>541</v>
      </c>
      <c r="G7" s="564" t="s">
        <v>551</v>
      </c>
      <c r="H7" s="628" t="s">
        <v>1228</v>
      </c>
      <c r="I7" s="628" t="s">
        <v>1229</v>
      </c>
    </row>
    <row r="8" spans="1:9" ht="46.5" customHeight="1" x14ac:dyDescent="0.25">
      <c r="A8" s="556"/>
      <c r="B8" s="556"/>
      <c r="C8" s="556"/>
      <c r="D8" s="562"/>
      <c r="E8" s="619"/>
      <c r="F8" s="563"/>
      <c r="G8" s="564"/>
      <c r="H8" s="619"/>
      <c r="I8" s="619"/>
    </row>
    <row r="9" spans="1:9" x14ac:dyDescent="0.25">
      <c r="A9" s="88"/>
      <c r="B9" s="65"/>
      <c r="C9" s="65"/>
      <c r="D9" s="30"/>
      <c r="E9" s="148">
        <f>SUMIF(E10:E1010,"&gt;0")</f>
        <v>20</v>
      </c>
      <c r="F9" s="298"/>
      <c r="H9" s="148">
        <f>SUMIF(H10:H1010,"&gt;0")</f>
        <v>0</v>
      </c>
      <c r="I9" s="148">
        <f>SUMIF(I10:I1010,"&gt;0")</f>
        <v>20</v>
      </c>
    </row>
    <row r="10" spans="1:9" ht="47.25" x14ac:dyDescent="0.25">
      <c r="A10" s="37">
        <v>1</v>
      </c>
      <c r="B10" s="7" t="s">
        <v>1403</v>
      </c>
      <c r="C10" s="7" t="s">
        <v>987</v>
      </c>
      <c r="D10" s="220">
        <v>2019</v>
      </c>
      <c r="E10" s="16">
        <f t="shared" ref="E10:E73" si="0">IF(OR($B10="",,,,$D10&lt;an_initial,$D10&gt;an_final,),"",HLOOKUP(C10,ii89punctaje,2,FALSE) )</f>
        <v>20</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20</v>
      </c>
    </row>
    <row r="11" spans="1:9" x14ac:dyDescent="0.25">
      <c r="A11" s="37">
        <v>2</v>
      </c>
      <c r="B11" s="7"/>
      <c r="C11" s="7"/>
      <c r="D11" s="220"/>
      <c r="E11" s="16" t="str">
        <f t="shared" si="0"/>
        <v/>
      </c>
      <c r="F11" s="349" t="b">
        <f t="shared" si="1"/>
        <v>0</v>
      </c>
      <c r="G11" s="350">
        <f t="shared" si="2"/>
        <v>1</v>
      </c>
      <c r="H11" s="382" t="str">
        <f t="shared" si="3"/>
        <v/>
      </c>
      <c r="I11" s="382" t="str">
        <f t="shared" si="4"/>
        <v/>
      </c>
    </row>
    <row r="12" spans="1:9" x14ac:dyDescent="0.25">
      <c r="A12" s="37">
        <v>3</v>
      </c>
      <c r="B12" s="7"/>
      <c r="C12" s="7"/>
      <c r="D12" s="220"/>
      <c r="E12" s="16" t="str">
        <f t="shared" si="0"/>
        <v/>
      </c>
      <c r="F12" s="349" t="b">
        <f t="shared" si="1"/>
        <v>0</v>
      </c>
      <c r="G12" s="350">
        <f t="shared" si="2"/>
        <v>1</v>
      </c>
      <c r="H12" s="382" t="str">
        <f t="shared" si="3"/>
        <v/>
      </c>
      <c r="I12" s="382" t="str">
        <f t="shared" si="4"/>
        <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Q13" sqref="Q13"/>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x14ac:dyDescent="0.2">
      <c r="A3" s="346" t="str">
        <f>IF(ISBLANK(departament),"","Departamentul " &amp; departament)</f>
        <v>Departamentul Electronică Aplicată</v>
      </c>
      <c r="E3" s="61"/>
      <c r="F3" s="63"/>
      <c r="G3" s="289"/>
      <c r="I3" s="63"/>
      <c r="J3" s="63"/>
      <c r="K3" s="63"/>
      <c r="L3" s="63"/>
      <c r="M3" s="63"/>
      <c r="N3" s="63"/>
    </row>
    <row r="4" spans="1:14" x14ac:dyDescent="0.25">
      <c r="A4" s="559" t="s">
        <v>905</v>
      </c>
      <c r="B4" s="559"/>
      <c r="C4" s="559"/>
      <c r="D4" s="559"/>
      <c r="E4" s="559"/>
      <c r="F4" s="559"/>
      <c r="G4" s="291"/>
    </row>
    <row r="5" spans="1:14" x14ac:dyDescent="0.25">
      <c r="A5" s="559" t="s">
        <v>980</v>
      </c>
      <c r="B5" s="559"/>
      <c r="C5" s="559"/>
      <c r="D5" s="559"/>
      <c r="E5" s="559"/>
      <c r="F5" s="559"/>
    </row>
    <row r="6" spans="1:14" ht="13.5" customHeight="1" x14ac:dyDescent="0.25">
      <c r="E6" s="64"/>
      <c r="F6" s="347" t="str">
        <f>CONCATENATE(functie," ",nume_candidat)</f>
        <v>Profesor Lascu Dan</v>
      </c>
      <c r="I6" s="347"/>
      <c r="J6" s="347"/>
      <c r="K6" s="347"/>
      <c r="L6" s="347"/>
      <c r="M6" s="347"/>
      <c r="N6" s="347"/>
    </row>
    <row r="7" spans="1:14" ht="18.75" customHeight="1" x14ac:dyDescent="0.25">
      <c r="A7" s="556" t="s">
        <v>338</v>
      </c>
      <c r="B7" s="556" t="s">
        <v>1044</v>
      </c>
      <c r="C7" s="556" t="s">
        <v>981</v>
      </c>
      <c r="D7" s="556" t="s">
        <v>460</v>
      </c>
      <c r="E7" s="562" t="s">
        <v>2</v>
      </c>
      <c r="F7" s="618" t="s">
        <v>544</v>
      </c>
      <c r="G7" s="563" t="s">
        <v>541</v>
      </c>
      <c r="H7" s="564" t="s">
        <v>551</v>
      </c>
      <c r="I7" s="557" t="s">
        <v>984</v>
      </c>
      <c r="J7" s="557" t="s">
        <v>985</v>
      </c>
      <c r="K7" s="557" t="s">
        <v>986</v>
      </c>
      <c r="L7" s="557" t="s">
        <v>987</v>
      </c>
      <c r="M7" s="557" t="s">
        <v>988</v>
      </c>
      <c r="N7" s="557" t="s">
        <v>989</v>
      </c>
    </row>
    <row r="8" spans="1:14" ht="46.5" customHeight="1" x14ac:dyDescent="0.25">
      <c r="A8" s="556"/>
      <c r="B8" s="556"/>
      <c r="C8" s="556"/>
      <c r="D8" s="556"/>
      <c r="E8" s="562"/>
      <c r="F8" s="619"/>
      <c r="G8" s="563"/>
      <c r="H8" s="564"/>
      <c r="I8" s="558"/>
      <c r="J8" s="558"/>
      <c r="K8" s="558"/>
      <c r="L8" s="558"/>
      <c r="M8" s="558"/>
      <c r="N8" s="558"/>
    </row>
    <row r="9" spans="1:14" x14ac:dyDescent="0.25">
      <c r="A9" s="88"/>
      <c r="B9" s="65"/>
      <c r="C9" s="65"/>
      <c r="D9" s="65"/>
      <c r="E9" s="30"/>
      <c r="F9" s="148">
        <f>SUMIF(F10:F1010,"&gt;0")</f>
        <v>496</v>
      </c>
      <c r="G9" s="298"/>
      <c r="I9" s="148">
        <f t="shared" ref="I9:N9" si="0">SUMIF(I10:I1108,"&gt;0")</f>
        <v>280</v>
      </c>
      <c r="J9" s="148">
        <f t="shared" si="0"/>
        <v>0</v>
      </c>
      <c r="K9" s="148">
        <f t="shared" si="0"/>
        <v>0</v>
      </c>
      <c r="L9" s="148">
        <f t="shared" si="0"/>
        <v>180</v>
      </c>
      <c r="M9" s="148">
        <f t="shared" si="0"/>
        <v>36</v>
      </c>
      <c r="N9" s="148">
        <f t="shared" si="0"/>
        <v>0</v>
      </c>
    </row>
    <row r="10" spans="1:14" ht="31.5" x14ac:dyDescent="0.25">
      <c r="A10" s="37">
        <v>1</v>
      </c>
      <c r="B10" s="7" t="s">
        <v>1404</v>
      </c>
      <c r="C10" s="216">
        <v>3</v>
      </c>
      <c r="D10" s="7" t="s">
        <v>984</v>
      </c>
      <c r="E10" s="220">
        <v>2015</v>
      </c>
      <c r="F10" s="16">
        <f t="shared" ref="F10:F73" si="1">IF(OR($B10="",$C10="",,,$E10&lt;an_initial,$E10&gt;an_final,),"",HLOOKUP(D10,ii9punctaje,2,FALSE) * C10)</f>
        <v>30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30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31.5" x14ac:dyDescent="0.25">
      <c r="A11" s="37">
        <v>2</v>
      </c>
      <c r="B11" s="7" t="s">
        <v>1404</v>
      </c>
      <c r="C11" s="216">
        <v>3</v>
      </c>
      <c r="D11" s="7" t="s">
        <v>984</v>
      </c>
      <c r="E11" s="220">
        <v>2016</v>
      </c>
      <c r="F11" s="16">
        <f t="shared" si="1"/>
        <v>30</v>
      </c>
      <c r="G11" s="349" t="b">
        <f t="shared" si="2"/>
        <v>0</v>
      </c>
      <c r="H11" s="350">
        <f t="shared" si="3"/>
        <v>1</v>
      </c>
      <c r="I11" s="382">
        <f t="shared" si="4"/>
        <v>30</v>
      </c>
      <c r="J11" s="382">
        <f t="shared" si="5"/>
        <v>0</v>
      </c>
      <c r="K11" s="382">
        <f t="shared" si="6"/>
        <v>0</v>
      </c>
      <c r="L11" s="382">
        <f t="shared" si="7"/>
        <v>0</v>
      </c>
      <c r="M11" s="382">
        <f t="shared" si="8"/>
        <v>0</v>
      </c>
      <c r="N11" s="382">
        <f t="shared" si="9"/>
        <v>0</v>
      </c>
    </row>
    <row r="12" spans="1:14" x14ac:dyDescent="0.25">
      <c r="A12" s="37">
        <v>3</v>
      </c>
      <c r="B12" s="7" t="s">
        <v>1405</v>
      </c>
      <c r="C12" s="216">
        <v>1</v>
      </c>
      <c r="D12" s="7" t="s">
        <v>984</v>
      </c>
      <c r="E12" s="220">
        <v>2016</v>
      </c>
      <c r="F12" s="16">
        <f t="shared" si="1"/>
        <v>10</v>
      </c>
      <c r="G12" s="349" t="b">
        <f t="shared" si="2"/>
        <v>0</v>
      </c>
      <c r="H12" s="350">
        <f t="shared" si="3"/>
        <v>1</v>
      </c>
      <c r="I12" s="382">
        <f t="shared" si="4"/>
        <v>10</v>
      </c>
      <c r="J12" s="382">
        <f t="shared" si="5"/>
        <v>0</v>
      </c>
      <c r="K12" s="382">
        <f t="shared" si="6"/>
        <v>0</v>
      </c>
      <c r="L12" s="382">
        <f t="shared" si="7"/>
        <v>0</v>
      </c>
      <c r="M12" s="382">
        <f t="shared" si="8"/>
        <v>0</v>
      </c>
      <c r="N12" s="382">
        <f t="shared" si="9"/>
        <v>0</v>
      </c>
    </row>
    <row r="13" spans="1:14" ht="31.5" x14ac:dyDescent="0.25">
      <c r="A13" s="37">
        <v>4</v>
      </c>
      <c r="B13" s="6" t="s">
        <v>1406</v>
      </c>
      <c r="C13" s="216">
        <v>4</v>
      </c>
      <c r="D13" s="6" t="s">
        <v>987</v>
      </c>
      <c r="E13" s="216">
        <v>2016</v>
      </c>
      <c r="F13" s="16">
        <f t="shared" si="1"/>
        <v>20</v>
      </c>
      <c r="G13" s="349" t="b">
        <f t="shared" si="2"/>
        <v>0</v>
      </c>
      <c r="H13" s="350">
        <f t="shared" si="3"/>
        <v>1</v>
      </c>
      <c r="I13" s="382">
        <f t="shared" si="4"/>
        <v>0</v>
      </c>
      <c r="J13" s="382">
        <f t="shared" si="5"/>
        <v>0</v>
      </c>
      <c r="K13" s="382">
        <f t="shared" si="6"/>
        <v>0</v>
      </c>
      <c r="L13" s="382">
        <f t="shared" si="7"/>
        <v>20</v>
      </c>
      <c r="M13" s="382">
        <f t="shared" si="8"/>
        <v>0</v>
      </c>
      <c r="N13" s="382">
        <f t="shared" si="9"/>
        <v>0</v>
      </c>
    </row>
    <row r="14" spans="1:14" ht="31.5" x14ac:dyDescent="0.25">
      <c r="A14" s="37">
        <v>5</v>
      </c>
      <c r="B14" s="517" t="s">
        <v>1404</v>
      </c>
      <c r="C14" s="216">
        <v>5</v>
      </c>
      <c r="D14" s="6" t="s">
        <v>984</v>
      </c>
      <c r="E14" s="216">
        <v>2017</v>
      </c>
      <c r="F14" s="16">
        <f t="shared" si="1"/>
        <v>50</v>
      </c>
      <c r="G14" s="349" t="b">
        <f t="shared" si="2"/>
        <v>0</v>
      </c>
      <c r="H14" s="350">
        <f t="shared" si="3"/>
        <v>1</v>
      </c>
      <c r="I14" s="382">
        <f t="shared" si="4"/>
        <v>50</v>
      </c>
      <c r="J14" s="382">
        <f t="shared" si="5"/>
        <v>0</v>
      </c>
      <c r="K14" s="382">
        <f t="shared" si="6"/>
        <v>0</v>
      </c>
      <c r="L14" s="382">
        <f t="shared" si="7"/>
        <v>0</v>
      </c>
      <c r="M14" s="382">
        <f t="shared" si="8"/>
        <v>0</v>
      </c>
      <c r="N14" s="382">
        <f t="shared" si="9"/>
        <v>0</v>
      </c>
    </row>
    <row r="15" spans="1:14" ht="31.5" x14ac:dyDescent="0.25">
      <c r="A15" s="37">
        <v>6</v>
      </c>
      <c r="B15" s="6" t="s">
        <v>1407</v>
      </c>
      <c r="C15" s="216">
        <v>10</v>
      </c>
      <c r="D15" s="6" t="s">
        <v>987</v>
      </c>
      <c r="E15" s="216">
        <v>2017</v>
      </c>
      <c r="F15" s="16">
        <f t="shared" si="1"/>
        <v>50</v>
      </c>
      <c r="G15" s="349" t="b">
        <f t="shared" si="2"/>
        <v>0</v>
      </c>
      <c r="H15" s="350">
        <f t="shared" si="3"/>
        <v>1</v>
      </c>
      <c r="I15" s="382">
        <f t="shared" si="4"/>
        <v>0</v>
      </c>
      <c r="J15" s="382">
        <f t="shared" si="5"/>
        <v>0</v>
      </c>
      <c r="K15" s="382">
        <f t="shared" si="6"/>
        <v>0</v>
      </c>
      <c r="L15" s="382">
        <f t="shared" si="7"/>
        <v>50</v>
      </c>
      <c r="M15" s="382">
        <f t="shared" si="8"/>
        <v>0</v>
      </c>
      <c r="N15" s="382">
        <f t="shared" si="9"/>
        <v>0</v>
      </c>
    </row>
    <row r="16" spans="1:14" x14ac:dyDescent="0.25">
      <c r="A16" s="37">
        <v>7</v>
      </c>
      <c r="B16" s="517" t="s">
        <v>1408</v>
      </c>
      <c r="C16" s="216">
        <v>1</v>
      </c>
      <c r="D16" s="6" t="s">
        <v>984</v>
      </c>
      <c r="E16" s="216">
        <v>2017</v>
      </c>
      <c r="F16" s="16">
        <f t="shared" si="1"/>
        <v>10</v>
      </c>
      <c r="G16" s="349" t="b">
        <f t="shared" si="2"/>
        <v>0</v>
      </c>
      <c r="H16" s="350">
        <f t="shared" si="3"/>
        <v>1</v>
      </c>
      <c r="I16" s="382">
        <f t="shared" si="4"/>
        <v>10</v>
      </c>
      <c r="J16" s="382">
        <f t="shared" si="5"/>
        <v>0</v>
      </c>
      <c r="K16" s="382">
        <f t="shared" si="6"/>
        <v>0</v>
      </c>
      <c r="L16" s="382">
        <f t="shared" si="7"/>
        <v>0</v>
      </c>
      <c r="M16" s="382">
        <f t="shared" si="8"/>
        <v>0</v>
      </c>
      <c r="N16" s="382">
        <f t="shared" si="9"/>
        <v>0</v>
      </c>
    </row>
    <row r="17" spans="1:14" ht="126" x14ac:dyDescent="0.25">
      <c r="A17" s="37">
        <v>8</v>
      </c>
      <c r="B17" s="6" t="s">
        <v>1409</v>
      </c>
      <c r="C17" s="216">
        <v>5</v>
      </c>
      <c r="D17" s="6" t="s">
        <v>987</v>
      </c>
      <c r="E17" s="216">
        <v>2017</v>
      </c>
      <c r="F17" s="16">
        <f t="shared" si="1"/>
        <v>25</v>
      </c>
      <c r="G17" s="349" t="b">
        <f t="shared" si="2"/>
        <v>0</v>
      </c>
      <c r="H17" s="350">
        <f t="shared" si="3"/>
        <v>4</v>
      </c>
      <c r="I17" s="382">
        <f t="shared" si="4"/>
        <v>0</v>
      </c>
      <c r="J17" s="382">
        <f t="shared" si="5"/>
        <v>0</v>
      </c>
      <c r="K17" s="382">
        <f t="shared" si="6"/>
        <v>0</v>
      </c>
      <c r="L17" s="382">
        <f t="shared" si="7"/>
        <v>25</v>
      </c>
      <c r="M17" s="382">
        <f t="shared" si="8"/>
        <v>0</v>
      </c>
      <c r="N17" s="382">
        <f t="shared" si="9"/>
        <v>0</v>
      </c>
    </row>
    <row r="18" spans="1:14" ht="31.5" x14ac:dyDescent="0.25">
      <c r="A18" s="37">
        <v>9</v>
      </c>
      <c r="B18" s="6" t="s">
        <v>1404</v>
      </c>
      <c r="C18" s="216">
        <v>4</v>
      </c>
      <c r="D18" s="6" t="s">
        <v>984</v>
      </c>
      <c r="E18" s="216">
        <v>2018</v>
      </c>
      <c r="F18" s="16">
        <f t="shared" si="1"/>
        <v>40</v>
      </c>
      <c r="G18" s="349" t="b">
        <f t="shared" si="2"/>
        <v>0</v>
      </c>
      <c r="H18" s="350">
        <f t="shared" si="3"/>
        <v>1</v>
      </c>
      <c r="I18" s="382">
        <f t="shared" si="4"/>
        <v>40</v>
      </c>
      <c r="J18" s="382">
        <f t="shared" si="5"/>
        <v>0</v>
      </c>
      <c r="K18" s="382">
        <f t="shared" si="6"/>
        <v>0</v>
      </c>
      <c r="L18" s="382">
        <f t="shared" si="7"/>
        <v>0</v>
      </c>
      <c r="M18" s="382">
        <f t="shared" si="8"/>
        <v>0</v>
      </c>
      <c r="N18" s="382">
        <f t="shared" si="9"/>
        <v>0</v>
      </c>
    </row>
    <row r="19" spans="1:14" ht="31.5" x14ac:dyDescent="0.25">
      <c r="A19" s="37">
        <v>10</v>
      </c>
      <c r="B19" s="6" t="s">
        <v>1410</v>
      </c>
      <c r="C19" s="216">
        <v>1</v>
      </c>
      <c r="D19" s="6" t="s">
        <v>984</v>
      </c>
      <c r="E19" s="216">
        <v>2018</v>
      </c>
      <c r="F19" s="16">
        <f t="shared" si="1"/>
        <v>10</v>
      </c>
      <c r="G19" s="349" t="b">
        <f t="shared" si="2"/>
        <v>0</v>
      </c>
      <c r="H19" s="350">
        <f t="shared" si="3"/>
        <v>1</v>
      </c>
      <c r="I19" s="382">
        <f t="shared" si="4"/>
        <v>10</v>
      </c>
      <c r="J19" s="382">
        <f t="shared" si="5"/>
        <v>0</v>
      </c>
      <c r="K19" s="382">
        <f t="shared" si="6"/>
        <v>0</v>
      </c>
      <c r="L19" s="382">
        <f t="shared" si="7"/>
        <v>0</v>
      </c>
      <c r="M19" s="382">
        <f t="shared" si="8"/>
        <v>0</v>
      </c>
      <c r="N19" s="382">
        <f t="shared" si="9"/>
        <v>0</v>
      </c>
    </row>
    <row r="20" spans="1:14" ht="47.25" x14ac:dyDescent="0.25">
      <c r="A20" s="37">
        <v>11</v>
      </c>
      <c r="B20" s="6" t="s">
        <v>1411</v>
      </c>
      <c r="C20" s="216">
        <v>1</v>
      </c>
      <c r="D20" s="6" t="s">
        <v>987</v>
      </c>
      <c r="E20" s="216">
        <v>2018</v>
      </c>
      <c r="F20" s="16">
        <f t="shared" si="1"/>
        <v>5</v>
      </c>
      <c r="G20" s="349" t="b">
        <f t="shared" si="2"/>
        <v>0</v>
      </c>
      <c r="H20" s="350">
        <f t="shared" si="3"/>
        <v>1</v>
      </c>
      <c r="I20" s="382">
        <f t="shared" si="4"/>
        <v>0</v>
      </c>
      <c r="J20" s="382">
        <f t="shared" si="5"/>
        <v>0</v>
      </c>
      <c r="K20" s="382">
        <f t="shared" si="6"/>
        <v>0</v>
      </c>
      <c r="L20" s="382">
        <f t="shared" si="7"/>
        <v>5</v>
      </c>
      <c r="M20" s="382">
        <f t="shared" si="8"/>
        <v>0</v>
      </c>
      <c r="N20" s="382">
        <f t="shared" si="9"/>
        <v>0</v>
      </c>
    </row>
    <row r="21" spans="1:14" ht="47.25" x14ac:dyDescent="0.25">
      <c r="A21" s="37">
        <v>12</v>
      </c>
      <c r="B21" s="6" t="s">
        <v>1412</v>
      </c>
      <c r="C21" s="216">
        <v>3</v>
      </c>
      <c r="D21" s="6" t="s">
        <v>987</v>
      </c>
      <c r="E21" s="216">
        <v>2018</v>
      </c>
      <c r="F21" s="16">
        <f t="shared" si="1"/>
        <v>15</v>
      </c>
      <c r="G21" s="349" t="b">
        <f t="shared" si="2"/>
        <v>0</v>
      </c>
      <c r="H21" s="350">
        <f t="shared" si="3"/>
        <v>1</v>
      </c>
      <c r="I21" s="382">
        <f t="shared" si="4"/>
        <v>0</v>
      </c>
      <c r="J21" s="382">
        <f t="shared" si="5"/>
        <v>0</v>
      </c>
      <c r="K21" s="382">
        <f t="shared" si="6"/>
        <v>0</v>
      </c>
      <c r="L21" s="382">
        <f t="shared" si="7"/>
        <v>15</v>
      </c>
      <c r="M21" s="382">
        <f t="shared" si="8"/>
        <v>0</v>
      </c>
      <c r="N21" s="382">
        <f t="shared" si="9"/>
        <v>0</v>
      </c>
    </row>
    <row r="22" spans="1:14" ht="31.5" x14ac:dyDescent="0.25">
      <c r="A22" s="37">
        <v>13</v>
      </c>
      <c r="B22" s="6" t="s">
        <v>1404</v>
      </c>
      <c r="C22" s="216">
        <v>3</v>
      </c>
      <c r="D22" s="6" t="s">
        <v>984</v>
      </c>
      <c r="E22" s="216">
        <v>2019</v>
      </c>
      <c r="F22" s="16">
        <f t="shared" si="1"/>
        <v>30</v>
      </c>
      <c r="G22" s="349" t="b">
        <f t="shared" si="2"/>
        <v>0</v>
      </c>
      <c r="H22" s="350">
        <f t="shared" si="3"/>
        <v>1</v>
      </c>
      <c r="I22" s="382">
        <f t="shared" si="4"/>
        <v>30</v>
      </c>
      <c r="J22" s="382">
        <f t="shared" si="5"/>
        <v>0</v>
      </c>
      <c r="K22" s="382">
        <f t="shared" si="6"/>
        <v>0</v>
      </c>
      <c r="L22" s="382">
        <f t="shared" si="7"/>
        <v>0</v>
      </c>
      <c r="M22" s="382">
        <f t="shared" si="8"/>
        <v>0</v>
      </c>
      <c r="N22" s="382">
        <f t="shared" si="9"/>
        <v>0</v>
      </c>
    </row>
    <row r="23" spans="1:14" ht="47.25" x14ac:dyDescent="0.25">
      <c r="A23" s="37">
        <v>14</v>
      </c>
      <c r="B23" s="6" t="s">
        <v>1413</v>
      </c>
      <c r="C23" s="216">
        <v>4</v>
      </c>
      <c r="D23" s="6" t="s">
        <v>988</v>
      </c>
      <c r="E23" s="216">
        <v>2019</v>
      </c>
      <c r="F23" s="16">
        <f t="shared" si="1"/>
        <v>12</v>
      </c>
      <c r="G23" s="349" t="b">
        <f t="shared" si="2"/>
        <v>0</v>
      </c>
      <c r="H23" s="350">
        <f t="shared" si="3"/>
        <v>1</v>
      </c>
      <c r="I23" s="382">
        <f t="shared" si="4"/>
        <v>0</v>
      </c>
      <c r="J23" s="382">
        <f t="shared" si="5"/>
        <v>0</v>
      </c>
      <c r="K23" s="382">
        <f t="shared" si="6"/>
        <v>0</v>
      </c>
      <c r="L23" s="382">
        <f t="shared" si="7"/>
        <v>0</v>
      </c>
      <c r="M23" s="382">
        <f t="shared" si="8"/>
        <v>12</v>
      </c>
      <c r="N23" s="382">
        <f t="shared" si="9"/>
        <v>0</v>
      </c>
    </row>
    <row r="24" spans="1:14" ht="47.25" x14ac:dyDescent="0.25">
      <c r="A24" s="37">
        <v>15</v>
      </c>
      <c r="B24" s="6" t="s">
        <v>1414</v>
      </c>
      <c r="C24" s="216">
        <v>10</v>
      </c>
      <c r="D24" s="6" t="s">
        <v>987</v>
      </c>
      <c r="E24" s="216">
        <v>2019</v>
      </c>
      <c r="F24" s="16">
        <f t="shared" si="1"/>
        <v>50</v>
      </c>
      <c r="G24" s="349" t="b">
        <f t="shared" si="2"/>
        <v>0</v>
      </c>
      <c r="H24" s="350">
        <f t="shared" si="3"/>
        <v>1</v>
      </c>
      <c r="I24" s="382">
        <f t="shared" si="4"/>
        <v>0</v>
      </c>
      <c r="J24" s="382">
        <f t="shared" si="5"/>
        <v>0</v>
      </c>
      <c r="K24" s="382">
        <f t="shared" si="6"/>
        <v>0</v>
      </c>
      <c r="L24" s="382">
        <f t="shared" si="7"/>
        <v>50</v>
      </c>
      <c r="M24" s="382">
        <f t="shared" si="8"/>
        <v>0</v>
      </c>
      <c r="N24" s="382">
        <f t="shared" si="9"/>
        <v>0</v>
      </c>
    </row>
    <row r="25" spans="1:14" ht="47.25" x14ac:dyDescent="0.25">
      <c r="A25" s="37">
        <v>16</v>
      </c>
      <c r="B25" s="6" t="s">
        <v>1415</v>
      </c>
      <c r="C25" s="216">
        <v>2</v>
      </c>
      <c r="D25" s="6" t="s">
        <v>988</v>
      </c>
      <c r="E25" s="216">
        <v>2019</v>
      </c>
      <c r="F25" s="16">
        <f t="shared" si="1"/>
        <v>6</v>
      </c>
      <c r="G25" s="349" t="b">
        <f t="shared" si="2"/>
        <v>0</v>
      </c>
      <c r="H25" s="350">
        <f t="shared" si="3"/>
        <v>2</v>
      </c>
      <c r="I25" s="382">
        <f t="shared" si="4"/>
        <v>0</v>
      </c>
      <c r="J25" s="382">
        <f t="shared" si="5"/>
        <v>0</v>
      </c>
      <c r="K25" s="382">
        <f t="shared" si="6"/>
        <v>0</v>
      </c>
      <c r="L25" s="382">
        <f t="shared" si="7"/>
        <v>0</v>
      </c>
      <c r="M25" s="382">
        <f t="shared" si="8"/>
        <v>6</v>
      </c>
      <c r="N25" s="382">
        <f t="shared" si="9"/>
        <v>0</v>
      </c>
    </row>
    <row r="26" spans="1:14" ht="63" x14ac:dyDescent="0.25">
      <c r="A26" s="37">
        <v>17</v>
      </c>
      <c r="B26" s="6" t="s">
        <v>1416</v>
      </c>
      <c r="C26" s="216">
        <v>6</v>
      </c>
      <c r="D26" s="6" t="s">
        <v>988</v>
      </c>
      <c r="E26" s="216">
        <v>2019</v>
      </c>
      <c r="F26" s="16">
        <f t="shared" si="1"/>
        <v>18</v>
      </c>
      <c r="G26" s="349" t="b">
        <f t="shared" si="2"/>
        <v>0</v>
      </c>
      <c r="H26" s="350">
        <f t="shared" si="3"/>
        <v>3</v>
      </c>
      <c r="I26" s="382">
        <f t="shared" si="4"/>
        <v>0</v>
      </c>
      <c r="J26" s="382">
        <f t="shared" si="5"/>
        <v>0</v>
      </c>
      <c r="K26" s="382">
        <f t="shared" si="6"/>
        <v>0</v>
      </c>
      <c r="L26" s="382">
        <f t="shared" si="7"/>
        <v>0</v>
      </c>
      <c r="M26" s="382">
        <f t="shared" si="8"/>
        <v>18</v>
      </c>
      <c r="N26" s="382">
        <f t="shared" si="9"/>
        <v>0</v>
      </c>
    </row>
    <row r="27" spans="1:14" x14ac:dyDescent="0.25">
      <c r="A27" s="37">
        <v>18</v>
      </c>
      <c r="B27" s="6" t="s">
        <v>1408</v>
      </c>
      <c r="C27" s="216">
        <v>2</v>
      </c>
      <c r="D27" s="6" t="s">
        <v>984</v>
      </c>
      <c r="E27" s="216">
        <v>2019</v>
      </c>
      <c r="F27" s="16">
        <f t="shared" si="1"/>
        <v>20</v>
      </c>
      <c r="G27" s="349" t="b">
        <f t="shared" si="2"/>
        <v>0</v>
      </c>
      <c r="H27" s="350">
        <f t="shared" si="3"/>
        <v>1</v>
      </c>
      <c r="I27" s="382">
        <f t="shared" si="4"/>
        <v>20</v>
      </c>
      <c r="J27" s="382">
        <f t="shared" si="5"/>
        <v>0</v>
      </c>
      <c r="K27" s="382">
        <f t="shared" si="6"/>
        <v>0</v>
      </c>
      <c r="L27" s="382">
        <f t="shared" si="7"/>
        <v>0</v>
      </c>
      <c r="M27" s="382">
        <f t="shared" si="8"/>
        <v>0</v>
      </c>
      <c r="N27" s="382">
        <f t="shared" si="9"/>
        <v>0</v>
      </c>
    </row>
    <row r="28" spans="1:14" ht="31.5" x14ac:dyDescent="0.25">
      <c r="A28" s="37">
        <v>19</v>
      </c>
      <c r="B28" s="6" t="s">
        <v>1418</v>
      </c>
      <c r="C28" s="216">
        <v>1</v>
      </c>
      <c r="D28" s="6" t="s">
        <v>984</v>
      </c>
      <c r="E28" s="216">
        <v>2019</v>
      </c>
      <c r="F28" s="16">
        <f t="shared" si="1"/>
        <v>10</v>
      </c>
      <c r="G28" s="349" t="b">
        <f t="shared" si="2"/>
        <v>0</v>
      </c>
      <c r="H28" s="350">
        <f t="shared" si="3"/>
        <v>1</v>
      </c>
      <c r="I28" s="382">
        <f t="shared" si="4"/>
        <v>10</v>
      </c>
      <c r="J28" s="382">
        <f t="shared" si="5"/>
        <v>0</v>
      </c>
      <c r="K28" s="382">
        <f t="shared" si="6"/>
        <v>0</v>
      </c>
      <c r="L28" s="382">
        <f t="shared" si="7"/>
        <v>0</v>
      </c>
      <c r="M28" s="382">
        <f t="shared" si="8"/>
        <v>0</v>
      </c>
      <c r="N28" s="382">
        <f t="shared" si="9"/>
        <v>0</v>
      </c>
    </row>
    <row r="29" spans="1:14" ht="31.5" x14ac:dyDescent="0.25">
      <c r="A29" s="37">
        <v>20</v>
      </c>
      <c r="B29" s="6" t="s">
        <v>1417</v>
      </c>
      <c r="C29" s="216">
        <v>3</v>
      </c>
      <c r="D29" s="6" t="s">
        <v>984</v>
      </c>
      <c r="E29" s="216">
        <v>2019</v>
      </c>
      <c r="F29" s="16">
        <f t="shared" si="1"/>
        <v>30</v>
      </c>
      <c r="G29" s="349" t="b">
        <f t="shared" si="2"/>
        <v>0</v>
      </c>
      <c r="H29" s="350">
        <f t="shared" si="3"/>
        <v>1</v>
      </c>
      <c r="I29" s="382">
        <f t="shared" si="4"/>
        <v>30</v>
      </c>
      <c r="J29" s="382">
        <f t="shared" si="5"/>
        <v>0</v>
      </c>
      <c r="K29" s="382">
        <f t="shared" si="6"/>
        <v>0</v>
      </c>
      <c r="L29" s="382">
        <f t="shared" si="7"/>
        <v>0</v>
      </c>
      <c r="M29" s="382">
        <f t="shared" si="8"/>
        <v>0</v>
      </c>
      <c r="N29" s="382">
        <f t="shared" si="9"/>
        <v>0</v>
      </c>
    </row>
    <row r="30" spans="1:14" ht="94.5" x14ac:dyDescent="0.25">
      <c r="A30" s="37">
        <v>21</v>
      </c>
      <c r="B30" s="6" t="s">
        <v>1419</v>
      </c>
      <c r="C30" s="216">
        <v>3</v>
      </c>
      <c r="D30" s="6" t="s">
        <v>987</v>
      </c>
      <c r="E30" s="216">
        <v>2019</v>
      </c>
      <c r="F30" s="16">
        <f t="shared" si="1"/>
        <v>15</v>
      </c>
      <c r="G30" s="349" t="b">
        <f t="shared" si="2"/>
        <v>0</v>
      </c>
      <c r="H30" s="350">
        <f t="shared" si="3"/>
        <v>5</v>
      </c>
      <c r="I30" s="382">
        <f t="shared" si="4"/>
        <v>0</v>
      </c>
      <c r="J30" s="382">
        <f t="shared" si="5"/>
        <v>0</v>
      </c>
      <c r="K30" s="382">
        <f t="shared" si="6"/>
        <v>0</v>
      </c>
      <c r="L30" s="382">
        <f t="shared" si="7"/>
        <v>15</v>
      </c>
      <c r="M30" s="382">
        <f t="shared" si="8"/>
        <v>0</v>
      </c>
      <c r="N30" s="382">
        <f t="shared" si="9"/>
        <v>0</v>
      </c>
    </row>
    <row r="31" spans="1:14" x14ac:dyDescent="0.25">
      <c r="A31" s="37">
        <v>22</v>
      </c>
      <c r="B31" s="6" t="s">
        <v>1420</v>
      </c>
      <c r="C31" s="216">
        <v>1</v>
      </c>
      <c r="D31" s="6" t="s">
        <v>984</v>
      </c>
      <c r="E31" s="216">
        <v>2019</v>
      </c>
      <c r="F31" s="16">
        <f t="shared" si="1"/>
        <v>10</v>
      </c>
      <c r="G31" s="349" t="b">
        <f t="shared" si="2"/>
        <v>0</v>
      </c>
      <c r="H31" s="350">
        <f t="shared" si="3"/>
        <v>2</v>
      </c>
      <c r="I31" s="382">
        <f t="shared" si="4"/>
        <v>10</v>
      </c>
      <c r="J31" s="382">
        <f t="shared" si="5"/>
        <v>0</v>
      </c>
      <c r="K31" s="382">
        <f t="shared" si="6"/>
        <v>0</v>
      </c>
      <c r="L31" s="382">
        <f t="shared" si="7"/>
        <v>0</v>
      </c>
      <c r="M31" s="382">
        <f t="shared" si="8"/>
        <v>0</v>
      </c>
      <c r="N31" s="382">
        <f t="shared" si="9"/>
        <v>0</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N21" sqref="N21"/>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Electronică și Telecomunicații</v>
      </c>
      <c r="D2" s="61"/>
      <c r="E2" s="63"/>
      <c r="F2" s="289"/>
      <c r="H2" s="63"/>
      <c r="I2" s="63"/>
      <c r="J2" s="63"/>
    </row>
    <row r="3" spans="1:10" s="60" customFormat="1" x14ac:dyDescent="0.2">
      <c r="A3" s="346" t="str">
        <f>IF(ISBLANK(departament),"","Departamentul " &amp; departament)</f>
        <v>Departamentul Electronică Aplicată</v>
      </c>
      <c r="D3" s="61"/>
      <c r="E3" s="63"/>
      <c r="F3" s="289"/>
      <c r="H3" s="63"/>
      <c r="I3" s="63"/>
      <c r="J3" s="63"/>
    </row>
    <row r="4" spans="1:10" x14ac:dyDescent="0.25">
      <c r="A4" s="559" t="s">
        <v>905</v>
      </c>
      <c r="B4" s="559"/>
      <c r="C4" s="559"/>
      <c r="D4" s="559"/>
      <c r="E4" s="559"/>
      <c r="F4" s="291"/>
    </row>
    <row r="5" spans="1:10" x14ac:dyDescent="0.25">
      <c r="A5" s="559" t="s">
        <v>1005</v>
      </c>
      <c r="B5" s="559"/>
      <c r="C5" s="559"/>
      <c r="D5" s="559"/>
      <c r="E5" s="559"/>
    </row>
    <row r="6" spans="1:10" ht="13.5" customHeight="1" x14ac:dyDescent="0.25">
      <c r="D6" s="64"/>
      <c r="E6" s="347" t="str">
        <f>CONCATENATE(functie," ",nume_candidat)</f>
        <v>Profesor Lascu Dan</v>
      </c>
      <c r="H6" s="347"/>
      <c r="I6" s="347"/>
      <c r="J6" s="347"/>
    </row>
    <row r="7" spans="1:10" ht="18.75" customHeight="1" x14ac:dyDescent="0.25">
      <c r="A7" s="556" t="s">
        <v>338</v>
      </c>
      <c r="B7" s="556" t="s">
        <v>1043</v>
      </c>
      <c r="C7" s="556" t="s">
        <v>814</v>
      </c>
      <c r="D7" s="562" t="s">
        <v>2</v>
      </c>
      <c r="E7" s="618" t="s">
        <v>544</v>
      </c>
      <c r="F7" s="563" t="s">
        <v>541</v>
      </c>
      <c r="G7" s="564" t="s">
        <v>551</v>
      </c>
      <c r="H7" s="629" t="s">
        <v>1230</v>
      </c>
      <c r="I7" s="631" t="s">
        <v>1231</v>
      </c>
      <c r="J7" s="631" t="s">
        <v>1232</v>
      </c>
    </row>
    <row r="8" spans="1:10" ht="46.5" customHeight="1" x14ac:dyDescent="0.25">
      <c r="A8" s="556"/>
      <c r="B8" s="556"/>
      <c r="C8" s="556"/>
      <c r="D8" s="562"/>
      <c r="E8" s="619"/>
      <c r="F8" s="563"/>
      <c r="G8" s="564"/>
      <c r="H8" s="630"/>
      <c r="I8" s="630"/>
      <c r="J8" s="630"/>
    </row>
    <row r="9" spans="1:10" x14ac:dyDescent="0.25">
      <c r="A9" s="88"/>
      <c r="B9" s="65"/>
      <c r="C9" s="65"/>
      <c r="D9" s="30"/>
      <c r="E9" s="148">
        <f>SUMIF(E10:E1010,"&gt;0")</f>
        <v>120</v>
      </c>
      <c r="F9" s="298"/>
      <c r="H9" s="148">
        <f>E9-I9-J9</f>
        <v>0</v>
      </c>
      <c r="I9" s="148">
        <f>SUMIF(I10:I1108,"&gt;0")</f>
        <v>100</v>
      </c>
      <c r="J9" s="148">
        <f>SUMIF(J10:J1108,"&gt;0")</f>
        <v>20</v>
      </c>
    </row>
    <row r="10" spans="1:10" ht="47.25" x14ac:dyDescent="0.25">
      <c r="A10" s="37">
        <v>1</v>
      </c>
      <c r="B10" s="7" t="s">
        <v>1455</v>
      </c>
      <c r="C10" s="7" t="s">
        <v>998</v>
      </c>
      <c r="D10" s="220">
        <v>2016</v>
      </c>
      <c r="E10" s="16">
        <f t="shared" ref="E10:E73" si="0">IF(OR($B10="",,,,$D10&lt;an_initial,$D10&gt;an_final,),"",HLOOKUP(C10,ii10punctaje,2,FALSE) )</f>
        <v>50</v>
      </c>
      <c r="F10" s="349" t="b">
        <f t="shared" ref="F10:F73" si="1">IF(nume_candidat="",FALSE,ISNUMBER(SEARCH(nume_candidat,$B10)))</f>
        <v>0</v>
      </c>
      <c r="G10" s="350">
        <f t="shared" ref="G10:G73" si="2">LEN(B10)-LEN(SUBSTITUTE(B10,",",""))+1</f>
        <v>1</v>
      </c>
      <c r="H10" s="382"/>
      <c r="I10" s="382">
        <f t="shared" ref="I10:I73" si="3">IF(OR($B10="",,,,$D10&lt;an_initial,$D10&gt;an_final,),"",HLOOKUP(C10,ii10punctaje,2,FALSE)*COUNTIF(C10,$I$7))</f>
        <v>50</v>
      </c>
      <c r="J10" s="382">
        <f t="shared" ref="J10:J73" si="4">IF(OR($B10="",,,,$D10&lt;an_initial,$D10&gt;an_final,),"",HLOOKUP(C10,ii10punctaje,2,FALSE)*COUNTIF(C10,$J$7))</f>
        <v>0</v>
      </c>
    </row>
    <row r="11" spans="1:10" ht="47.25" x14ac:dyDescent="0.25">
      <c r="A11" s="37">
        <v>2</v>
      </c>
      <c r="B11" s="7" t="s">
        <v>1456</v>
      </c>
      <c r="C11" s="7" t="s">
        <v>998</v>
      </c>
      <c r="D11" s="220">
        <v>2018</v>
      </c>
      <c r="E11" s="16">
        <f t="shared" si="0"/>
        <v>50</v>
      </c>
      <c r="F11" s="349" t="b">
        <f t="shared" si="1"/>
        <v>0</v>
      </c>
      <c r="G11" s="350">
        <f t="shared" si="2"/>
        <v>1</v>
      </c>
      <c r="H11" s="382"/>
      <c r="I11" s="382">
        <f t="shared" si="3"/>
        <v>50</v>
      </c>
      <c r="J11" s="382">
        <f t="shared" si="4"/>
        <v>0</v>
      </c>
    </row>
    <row r="12" spans="1:10" ht="47.25" x14ac:dyDescent="0.25">
      <c r="A12" s="37">
        <v>3</v>
      </c>
      <c r="B12" s="7" t="s">
        <v>1457</v>
      </c>
      <c r="C12" s="7" t="s">
        <v>1000</v>
      </c>
      <c r="D12" s="220">
        <v>2018</v>
      </c>
      <c r="E12" s="16">
        <f t="shared" si="0"/>
        <v>20</v>
      </c>
      <c r="F12" s="349" t="b">
        <f t="shared" si="1"/>
        <v>0</v>
      </c>
      <c r="G12" s="350">
        <f t="shared" si="2"/>
        <v>2</v>
      </c>
      <c r="H12" s="382"/>
      <c r="I12" s="382">
        <f t="shared" si="3"/>
        <v>0</v>
      </c>
      <c r="J12" s="382">
        <f t="shared" si="4"/>
        <v>20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J33" sqref="J33"/>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Electronică și Telecomunicații</v>
      </c>
      <c r="D2" s="61"/>
      <c r="E2" s="63"/>
      <c r="F2" s="289"/>
    </row>
    <row r="3" spans="1:7" s="60" customFormat="1" x14ac:dyDescent="0.2">
      <c r="A3" s="346" t="str">
        <f>IF(ISBLANK(departament),"","Departamentul " &amp; departament)</f>
        <v>Departamentul Electronică Aplicată</v>
      </c>
      <c r="D3" s="61"/>
      <c r="E3" s="63"/>
      <c r="F3" s="289"/>
    </row>
    <row r="4" spans="1:7" x14ac:dyDescent="0.25">
      <c r="A4" s="559" t="s">
        <v>905</v>
      </c>
      <c r="B4" s="559"/>
      <c r="C4" s="559"/>
      <c r="D4" s="559"/>
      <c r="E4" s="559"/>
      <c r="F4" s="291"/>
    </row>
    <row r="5" spans="1:7" x14ac:dyDescent="0.25">
      <c r="A5" s="559" t="s">
        <v>1006</v>
      </c>
      <c r="B5" s="559"/>
      <c r="C5" s="559"/>
      <c r="D5" s="559"/>
      <c r="E5" s="559"/>
    </row>
    <row r="6" spans="1:7" ht="13.5" customHeight="1" x14ac:dyDescent="0.25">
      <c r="D6" s="64"/>
      <c r="E6" s="347" t="str">
        <f>CONCATENATE(functie," ",nume_candidat)</f>
        <v>Profesor Lascu Dan</v>
      </c>
    </row>
    <row r="7" spans="1:7" ht="18.75" customHeight="1" x14ac:dyDescent="0.25">
      <c r="A7" s="556" t="s">
        <v>338</v>
      </c>
      <c r="B7" s="556" t="s">
        <v>1043</v>
      </c>
      <c r="C7" s="556" t="s">
        <v>460</v>
      </c>
      <c r="D7" s="562" t="s">
        <v>2</v>
      </c>
      <c r="E7" s="618" t="s">
        <v>544</v>
      </c>
      <c r="F7" s="563" t="s">
        <v>541</v>
      </c>
      <c r="G7" s="564" t="s">
        <v>551</v>
      </c>
    </row>
    <row r="8" spans="1:7" ht="46.5" customHeight="1" x14ac:dyDescent="0.25">
      <c r="A8" s="556"/>
      <c r="B8" s="556"/>
      <c r="C8" s="556"/>
      <c r="D8" s="562"/>
      <c r="E8" s="619"/>
      <c r="F8" s="563"/>
      <c r="G8" s="564"/>
    </row>
    <row r="9" spans="1:7" x14ac:dyDescent="0.25">
      <c r="A9" s="88"/>
      <c r="B9" s="65"/>
      <c r="C9" s="65"/>
      <c r="D9" s="30"/>
      <c r="E9" s="148">
        <f>SUMIF(E10:E1010,"&gt;0")</f>
        <v>0</v>
      </c>
      <c r="F9" s="298"/>
    </row>
    <row r="10" spans="1:7" x14ac:dyDescent="0.25">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25">
      <c r="A11" s="37">
        <v>2</v>
      </c>
      <c r="B11" s="7"/>
      <c r="C11" s="7"/>
      <c r="D11" s="220"/>
      <c r="E11" s="16" t="str">
        <f t="shared" si="0"/>
        <v/>
      </c>
      <c r="F11" s="349" t="b">
        <f t="shared" si="1"/>
        <v>0</v>
      </c>
      <c r="G11" s="350">
        <f t="shared" si="2"/>
        <v>1</v>
      </c>
    </row>
    <row r="12" spans="1:7" x14ac:dyDescent="0.25">
      <c r="A12" s="37">
        <v>3</v>
      </c>
      <c r="B12" s="7"/>
      <c r="C12" s="7"/>
      <c r="D12" s="220"/>
      <c r="E12" s="16" t="str">
        <f t="shared" si="0"/>
        <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L14" sqref="L14"/>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Electronică Aplicată</v>
      </c>
      <c r="D3" s="61"/>
      <c r="E3" s="63"/>
      <c r="F3" s="289"/>
      <c r="H3" s="63"/>
      <c r="I3" s="63"/>
    </row>
    <row r="4" spans="1:9" x14ac:dyDescent="0.25">
      <c r="A4" s="559" t="s">
        <v>905</v>
      </c>
      <c r="B4" s="559"/>
      <c r="C4" s="559"/>
      <c r="D4" s="559"/>
      <c r="E4" s="559"/>
      <c r="F4" s="291"/>
    </row>
    <row r="5" spans="1:9" x14ac:dyDescent="0.25">
      <c r="A5" s="559" t="s">
        <v>1009</v>
      </c>
      <c r="B5" s="559"/>
      <c r="C5" s="559"/>
      <c r="D5" s="559"/>
      <c r="E5" s="559"/>
    </row>
    <row r="6" spans="1:9" ht="13.5" customHeight="1" x14ac:dyDescent="0.25">
      <c r="D6" s="64"/>
      <c r="E6" s="347" t="str">
        <f>CONCATENATE(functie," ",nume_candidat)</f>
        <v>Profesor Lascu Dan</v>
      </c>
      <c r="H6" s="347" t="str">
        <f>CONCATENATE(functie," ",nume_candidat)</f>
        <v>Profesor Lascu Dan</v>
      </c>
      <c r="I6" s="347" t="str">
        <f>CONCATENATE(functie," ",nume_candidat)</f>
        <v>Profesor Lascu Dan</v>
      </c>
    </row>
    <row r="7" spans="1:9" ht="18.75" customHeight="1" x14ac:dyDescent="0.25">
      <c r="A7" s="556" t="s">
        <v>338</v>
      </c>
      <c r="B7" s="556" t="s">
        <v>1057</v>
      </c>
      <c r="C7" s="556" t="s">
        <v>460</v>
      </c>
      <c r="D7" s="562" t="s">
        <v>2</v>
      </c>
      <c r="E7" s="618" t="s">
        <v>544</v>
      </c>
      <c r="F7" s="563" t="s">
        <v>541</v>
      </c>
      <c r="G7" s="564" t="s">
        <v>551</v>
      </c>
      <c r="H7" s="618" t="s">
        <v>1012</v>
      </c>
      <c r="I7" s="618" t="s">
        <v>1011</v>
      </c>
    </row>
    <row r="8" spans="1:9" ht="46.5" customHeight="1" x14ac:dyDescent="0.25">
      <c r="A8" s="556"/>
      <c r="B8" s="556"/>
      <c r="C8" s="556"/>
      <c r="D8" s="562"/>
      <c r="E8" s="619"/>
      <c r="F8" s="563"/>
      <c r="G8" s="564"/>
      <c r="H8" s="619"/>
      <c r="I8" s="619"/>
    </row>
    <row r="9" spans="1:9" x14ac:dyDescent="0.25">
      <c r="A9" s="88"/>
      <c r="B9" s="65"/>
      <c r="C9" s="65"/>
      <c r="D9" s="30"/>
      <c r="E9" s="148">
        <f>SUMIF(E10:E1010,"&gt;0")</f>
        <v>50</v>
      </c>
      <c r="F9" s="298"/>
      <c r="H9" s="148">
        <f>SUMIF(H10:H1108,"&gt;0")</f>
        <v>40</v>
      </c>
      <c r="I9" s="148">
        <f>SUMIF(I10:I1108,"&gt;0")</f>
        <v>10</v>
      </c>
    </row>
    <row r="10" spans="1:9" x14ac:dyDescent="0.25">
      <c r="A10" s="37">
        <v>1</v>
      </c>
      <c r="B10" s="7" t="s">
        <v>1422</v>
      </c>
      <c r="C10" s="7" t="s">
        <v>1012</v>
      </c>
      <c r="D10" s="220">
        <v>2015</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5</v>
      </c>
      <c r="I10" s="382">
        <f t="shared" ref="I10:I73" si="4">IF(OR($B10="",,,,$D10&lt;an_initial,$D10&gt;an_final,),"",HLOOKUP(C10,ii120punctaje,2,FALSE)*COUNTIF(C10,"Internaționale"))</f>
        <v>0</v>
      </c>
    </row>
    <row r="11" spans="1:9" x14ac:dyDescent="0.25">
      <c r="A11" s="37">
        <v>2</v>
      </c>
      <c r="B11" s="380" t="s">
        <v>1421</v>
      </c>
      <c r="C11" s="7" t="s">
        <v>1012</v>
      </c>
      <c r="D11" s="220">
        <v>2015</v>
      </c>
      <c r="E11" s="16">
        <f t="shared" si="0"/>
        <v>5</v>
      </c>
      <c r="F11" s="349" t="b">
        <f t="shared" si="1"/>
        <v>0</v>
      </c>
      <c r="G11" s="350">
        <f t="shared" si="2"/>
        <v>2</v>
      </c>
      <c r="H11" s="382">
        <f t="shared" si="3"/>
        <v>5</v>
      </c>
      <c r="I11" s="382">
        <f t="shared" si="4"/>
        <v>0</v>
      </c>
    </row>
    <row r="12" spans="1:9" x14ac:dyDescent="0.25">
      <c r="A12" s="37">
        <v>3</v>
      </c>
      <c r="B12" s="7" t="s">
        <v>1423</v>
      </c>
      <c r="C12" s="7" t="s">
        <v>1012</v>
      </c>
      <c r="D12" s="220">
        <v>2015</v>
      </c>
      <c r="E12" s="16">
        <f t="shared" si="0"/>
        <v>5</v>
      </c>
      <c r="F12" s="349" t="b">
        <f t="shared" si="1"/>
        <v>0</v>
      </c>
      <c r="G12" s="350">
        <f t="shared" si="2"/>
        <v>1</v>
      </c>
      <c r="H12" s="382">
        <f t="shared" si="3"/>
        <v>5</v>
      </c>
      <c r="I12" s="382">
        <f t="shared" si="4"/>
        <v>0</v>
      </c>
    </row>
    <row r="13" spans="1:9" ht="31.5" x14ac:dyDescent="0.25">
      <c r="A13" s="37">
        <v>4</v>
      </c>
      <c r="B13" s="6" t="s">
        <v>1425</v>
      </c>
      <c r="C13" s="6" t="s">
        <v>1011</v>
      </c>
      <c r="D13" s="216">
        <v>2015</v>
      </c>
      <c r="E13" s="16">
        <f t="shared" si="0"/>
        <v>10</v>
      </c>
      <c r="F13" s="349" t="b">
        <f t="shared" si="1"/>
        <v>0</v>
      </c>
      <c r="G13" s="350">
        <f t="shared" si="2"/>
        <v>2</v>
      </c>
      <c r="H13" s="382">
        <f t="shared" si="3"/>
        <v>0</v>
      </c>
      <c r="I13" s="382">
        <f t="shared" si="4"/>
        <v>10</v>
      </c>
    </row>
    <row r="14" spans="1:9" x14ac:dyDescent="0.25">
      <c r="A14" s="37">
        <v>5</v>
      </c>
      <c r="B14" s="6" t="s">
        <v>1424</v>
      </c>
      <c r="C14" s="6" t="s">
        <v>1012</v>
      </c>
      <c r="D14" s="216">
        <v>2017</v>
      </c>
      <c r="E14" s="16">
        <f t="shared" si="0"/>
        <v>5</v>
      </c>
      <c r="F14" s="349" t="b">
        <f t="shared" si="1"/>
        <v>0</v>
      </c>
      <c r="G14" s="350">
        <f t="shared" si="2"/>
        <v>2</v>
      </c>
      <c r="H14" s="382">
        <f t="shared" si="3"/>
        <v>5</v>
      </c>
      <c r="I14" s="382">
        <f t="shared" si="4"/>
        <v>0</v>
      </c>
    </row>
    <row r="15" spans="1:9" ht="31.5" x14ac:dyDescent="0.25">
      <c r="A15" s="37">
        <v>6</v>
      </c>
      <c r="B15" s="6" t="s">
        <v>1426</v>
      </c>
      <c r="C15" s="6" t="s">
        <v>1012</v>
      </c>
      <c r="D15" s="216">
        <v>2017</v>
      </c>
      <c r="E15" s="16">
        <f t="shared" si="0"/>
        <v>5</v>
      </c>
      <c r="F15" s="349" t="b">
        <f t="shared" si="1"/>
        <v>0</v>
      </c>
      <c r="G15" s="350">
        <f t="shared" si="2"/>
        <v>2</v>
      </c>
      <c r="H15" s="382">
        <f t="shared" si="3"/>
        <v>5</v>
      </c>
      <c r="I15" s="382">
        <f t="shared" si="4"/>
        <v>0</v>
      </c>
    </row>
    <row r="16" spans="1:9" ht="31.5" x14ac:dyDescent="0.25">
      <c r="A16" s="37">
        <v>7</v>
      </c>
      <c r="B16" s="6" t="s">
        <v>1427</v>
      </c>
      <c r="C16" s="6" t="s">
        <v>1012</v>
      </c>
      <c r="D16" s="216">
        <v>2018</v>
      </c>
      <c r="E16" s="16">
        <f t="shared" si="0"/>
        <v>5</v>
      </c>
      <c r="F16" s="349" t="b">
        <f t="shared" si="1"/>
        <v>0</v>
      </c>
      <c r="G16" s="350">
        <f t="shared" si="2"/>
        <v>2</v>
      </c>
      <c r="H16" s="382">
        <f t="shared" si="3"/>
        <v>5</v>
      </c>
      <c r="I16" s="382">
        <f t="shared" si="4"/>
        <v>0</v>
      </c>
    </row>
    <row r="17" spans="1:9" x14ac:dyDescent="0.25">
      <c r="A17" s="37">
        <v>8</v>
      </c>
      <c r="B17" s="6" t="s">
        <v>1428</v>
      </c>
      <c r="C17" s="6" t="s">
        <v>1012</v>
      </c>
      <c r="D17" s="216">
        <v>2019</v>
      </c>
      <c r="E17" s="16">
        <f t="shared" si="0"/>
        <v>5</v>
      </c>
      <c r="F17" s="349" t="b">
        <f t="shared" si="1"/>
        <v>0</v>
      </c>
      <c r="G17" s="350">
        <f t="shared" si="2"/>
        <v>2</v>
      </c>
      <c r="H17" s="382">
        <f t="shared" si="3"/>
        <v>5</v>
      </c>
      <c r="I17" s="382">
        <f t="shared" si="4"/>
        <v>0</v>
      </c>
    </row>
    <row r="18" spans="1:9" x14ac:dyDescent="0.25">
      <c r="A18" s="37">
        <v>9</v>
      </c>
      <c r="B18" s="6" t="s">
        <v>1429</v>
      </c>
      <c r="C18" s="6" t="s">
        <v>1012</v>
      </c>
      <c r="D18" s="216">
        <v>2019</v>
      </c>
      <c r="E18" s="16">
        <f t="shared" si="0"/>
        <v>5</v>
      </c>
      <c r="F18" s="349" t="b">
        <f t="shared" si="1"/>
        <v>0</v>
      </c>
      <c r="G18" s="350">
        <f t="shared" si="2"/>
        <v>1</v>
      </c>
      <c r="H18" s="382">
        <f t="shared" si="3"/>
        <v>5</v>
      </c>
      <c r="I18" s="382">
        <f t="shared" si="4"/>
        <v>0</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J17" sqref="J17"/>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Electronică și Telecomunicații</v>
      </c>
      <c r="C2" s="61"/>
      <c r="D2" s="63"/>
      <c r="E2" s="289"/>
    </row>
    <row r="3" spans="1:6" s="60" customFormat="1" x14ac:dyDescent="0.2">
      <c r="A3" s="346" t="str">
        <f>IF(ISBLANK(departament),"","Departamentul " &amp; departament)</f>
        <v>Departamentul Electronică Aplicată</v>
      </c>
      <c r="C3" s="61"/>
      <c r="D3" s="63"/>
      <c r="E3" s="289"/>
    </row>
    <row r="4" spans="1:6" x14ac:dyDescent="0.25">
      <c r="A4" s="559" t="s">
        <v>905</v>
      </c>
      <c r="B4" s="559"/>
      <c r="C4" s="559"/>
      <c r="D4" s="559"/>
      <c r="E4" s="291"/>
    </row>
    <row r="5" spans="1:6" x14ac:dyDescent="0.25">
      <c r="A5" s="559" t="s">
        <v>1013</v>
      </c>
      <c r="B5" s="559"/>
      <c r="C5" s="559"/>
      <c r="D5" s="559"/>
    </row>
    <row r="6" spans="1:6" ht="13.5" customHeight="1" x14ac:dyDescent="0.25">
      <c r="C6" s="64"/>
      <c r="D6" s="347" t="str">
        <f>CONCATENATE(functie," ",nume_candidat)</f>
        <v>Profesor Lascu Dan</v>
      </c>
    </row>
    <row r="7" spans="1:6" ht="18.75" customHeight="1" x14ac:dyDescent="0.25">
      <c r="A7" s="556" t="s">
        <v>338</v>
      </c>
      <c r="B7" s="556" t="s">
        <v>1042</v>
      </c>
      <c r="C7" s="562" t="s">
        <v>2</v>
      </c>
      <c r="D7" s="618" t="s">
        <v>544</v>
      </c>
      <c r="E7" s="563" t="s">
        <v>541</v>
      </c>
      <c r="F7" s="564" t="s">
        <v>551</v>
      </c>
    </row>
    <row r="8" spans="1:6" ht="46.5" customHeight="1" x14ac:dyDescent="0.25">
      <c r="A8" s="556"/>
      <c r="B8" s="556"/>
      <c r="C8" s="562"/>
      <c r="D8" s="619"/>
      <c r="E8" s="563"/>
      <c r="F8" s="564"/>
    </row>
    <row r="9" spans="1:6" x14ac:dyDescent="0.25">
      <c r="A9" s="88"/>
      <c r="B9" s="65"/>
      <c r="C9" s="30"/>
      <c r="D9" s="148">
        <f>SUMIF(D10:D1010,"&gt;0")</f>
        <v>0</v>
      </c>
      <c r="E9" s="298"/>
    </row>
    <row r="10" spans="1:6" x14ac:dyDescent="0.25">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25">
      <c r="A11" s="37">
        <v>2</v>
      </c>
      <c r="B11" s="7"/>
      <c r="C11" s="220"/>
      <c r="D11" s="16" t="str">
        <f t="shared" si="0"/>
        <v/>
      </c>
      <c r="E11" s="349" t="b">
        <f t="shared" si="1"/>
        <v>0</v>
      </c>
      <c r="F11" s="350">
        <f t="shared" si="2"/>
        <v>1</v>
      </c>
    </row>
    <row r="12" spans="1:6" x14ac:dyDescent="0.25">
      <c r="A12" s="37">
        <v>3</v>
      </c>
      <c r="B12" s="7"/>
      <c r="C12" s="220"/>
      <c r="D12" s="16" t="str">
        <f t="shared" si="0"/>
        <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C25" sqref="C2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x14ac:dyDescent="0.2">
      <c r="A3" s="346" t="str">
        <f>IF(ISBLANK(departament),"","Departamentul " &amp; departament)</f>
        <v>Departamentul Electronică Aplicată</v>
      </c>
      <c r="B3" s="332"/>
      <c r="E3" s="61"/>
      <c r="F3" s="63"/>
      <c r="G3" s="62"/>
      <c r="H3" s="289"/>
      <c r="J3" s="63"/>
      <c r="K3" s="63"/>
      <c r="L3" s="63"/>
    </row>
    <row r="4" spans="1:12" x14ac:dyDescent="0.25">
      <c r="A4" s="559" t="s">
        <v>836</v>
      </c>
      <c r="B4" s="559"/>
      <c r="C4" s="559"/>
      <c r="D4" s="559"/>
      <c r="E4" s="559"/>
      <c r="F4" s="559"/>
      <c r="G4" s="226"/>
      <c r="H4" s="291"/>
    </row>
    <row r="5" spans="1:12" x14ac:dyDescent="0.25">
      <c r="A5" s="559" t="s">
        <v>837</v>
      </c>
      <c r="B5" s="559"/>
      <c r="C5" s="559"/>
      <c r="D5" s="559"/>
      <c r="E5" s="559"/>
      <c r="F5" s="559"/>
      <c r="G5" s="226"/>
    </row>
    <row r="6" spans="1:12" ht="13.5" customHeight="1" x14ac:dyDescent="0.25">
      <c r="E6" s="64"/>
      <c r="F6" s="347" t="str">
        <f>CONCATENATE(functie," ",nume_candidat)</f>
        <v>Profesor Lascu Dan</v>
      </c>
      <c r="J6" s="347" t="str">
        <f>CONCATENATE(functie," ",nume_candidat)</f>
        <v>Profesor Lascu Dan</v>
      </c>
      <c r="K6" s="347" t="str">
        <f>CONCATENATE(functie," ",nume_candidat)</f>
        <v>Profesor Lascu Dan</v>
      </c>
      <c r="L6" s="347" t="str">
        <f>CONCATENATE(functie," ",nume_candidat)</f>
        <v>Profesor Lascu Dan</v>
      </c>
    </row>
    <row r="7" spans="1:12" ht="18.75" customHeight="1" x14ac:dyDescent="0.25">
      <c r="A7" s="557" t="s">
        <v>338</v>
      </c>
      <c r="B7" s="567" t="s">
        <v>1059</v>
      </c>
      <c r="C7" s="567" t="s">
        <v>1058</v>
      </c>
      <c r="D7" s="567" t="s">
        <v>843</v>
      </c>
      <c r="E7" s="567" t="s">
        <v>2</v>
      </c>
      <c r="F7" s="557" t="s">
        <v>544</v>
      </c>
      <c r="G7" s="557" t="s">
        <v>4</v>
      </c>
      <c r="H7" s="578" t="s">
        <v>541</v>
      </c>
      <c r="I7" s="564" t="s">
        <v>551</v>
      </c>
      <c r="J7" s="557" t="s">
        <v>839</v>
      </c>
      <c r="K7" s="557" t="s">
        <v>840</v>
      </c>
      <c r="L7" s="557" t="s">
        <v>841</v>
      </c>
    </row>
    <row r="8" spans="1:12" ht="18.75" customHeight="1" x14ac:dyDescent="0.25">
      <c r="A8" s="574"/>
      <c r="B8" s="568"/>
      <c r="C8" s="568"/>
      <c r="D8" s="568"/>
      <c r="E8" s="568"/>
      <c r="F8" s="574"/>
      <c r="G8" s="574"/>
      <c r="H8" s="579"/>
      <c r="I8" s="564"/>
      <c r="J8" s="574"/>
      <c r="K8" s="574"/>
      <c r="L8" s="574"/>
    </row>
    <row r="9" spans="1:12" ht="18.75" customHeight="1" x14ac:dyDescent="0.25">
      <c r="A9" s="574"/>
      <c r="B9" s="568"/>
      <c r="C9" s="568"/>
      <c r="D9" s="568"/>
      <c r="E9" s="568"/>
      <c r="F9" s="558"/>
      <c r="G9" s="558"/>
      <c r="H9" s="579"/>
      <c r="I9" s="564"/>
      <c r="J9" s="558"/>
      <c r="K9" s="558"/>
      <c r="L9" s="558"/>
    </row>
    <row r="10" spans="1:12" ht="18.75" customHeight="1" x14ac:dyDescent="0.25">
      <c r="A10" s="558"/>
      <c r="B10" s="569"/>
      <c r="C10" s="569"/>
      <c r="D10" s="569"/>
      <c r="E10" s="569"/>
      <c r="F10" s="348" t="str">
        <f>CONCATENATE("ultimii ",durata_evaluare," ani")</f>
        <v>ultimii 5 ani</v>
      </c>
      <c r="G10" s="348" t="str">
        <f>CONCATENATE("ultimii                                  ",durata_evaluare," ani")</f>
        <v>ultimii                                  5 ani</v>
      </c>
      <c r="H10" s="580"/>
      <c r="I10" s="564"/>
      <c r="J10" s="438" t="str">
        <f>CONCATENATE("ultimii ",durata_evaluare," ani")</f>
        <v>ultimii 5 ani</v>
      </c>
      <c r="K10" s="438" t="str">
        <f>CONCATENATE("ultimii ",durata_evaluare," ani")</f>
        <v>ultimii 5 ani</v>
      </c>
      <c r="L10" s="438" t="str">
        <f>CONCATENATE("ultimii ",durata_evaluare," ani")</f>
        <v>ultimii 5 ani</v>
      </c>
    </row>
    <row r="11" spans="1:12" x14ac:dyDescent="0.25">
      <c r="A11" s="88"/>
      <c r="B11" s="65"/>
      <c r="C11" s="65"/>
      <c r="D11" s="65"/>
      <c r="E11" s="30"/>
      <c r="F11" s="148">
        <f>SUMIF(F12:F1012,"&gt;0")</f>
        <v>31</v>
      </c>
      <c r="G11" s="4">
        <f>SUMIF(G12:G1110,"&gt;0")</f>
        <v>8</v>
      </c>
      <c r="H11" s="298"/>
      <c r="J11" s="148">
        <f>SUMIF(J12:J1110,"&gt;0")</f>
        <v>25</v>
      </c>
      <c r="K11" s="148">
        <f>SUMIF(K12:K1110,"&gt;0")</f>
        <v>0</v>
      </c>
      <c r="L11" s="148">
        <f>SUMIF(L12:L1110,"&gt;0")</f>
        <v>6</v>
      </c>
    </row>
    <row r="12" spans="1:12" x14ac:dyDescent="0.25">
      <c r="A12" s="37">
        <v>1</v>
      </c>
      <c r="B12" s="163" t="s">
        <v>1432</v>
      </c>
      <c r="C12" s="7" t="s">
        <v>1433</v>
      </c>
      <c r="D12" s="7" t="s">
        <v>839</v>
      </c>
      <c r="E12" s="220">
        <v>2015</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x14ac:dyDescent="0.25">
      <c r="A13" s="37">
        <v>2</v>
      </c>
      <c r="B13" s="163" t="s">
        <v>1432</v>
      </c>
      <c r="C13" s="7" t="s">
        <v>1433</v>
      </c>
      <c r="D13" s="7" t="s">
        <v>839</v>
      </c>
      <c r="E13" s="220">
        <v>2016</v>
      </c>
      <c r="F13" s="16">
        <f t="shared" si="0"/>
        <v>5</v>
      </c>
      <c r="G13" s="58">
        <f t="shared" si="1"/>
        <v>1</v>
      </c>
      <c r="H13" s="349" t="b">
        <f t="shared" si="2"/>
        <v>0</v>
      </c>
      <c r="I13" s="350">
        <f t="shared" si="3"/>
        <v>1</v>
      </c>
      <c r="J13" s="382">
        <f t="shared" si="4"/>
        <v>5</v>
      </c>
      <c r="K13" s="382">
        <f t="shared" si="5"/>
        <v>0</v>
      </c>
      <c r="L13" s="382">
        <f t="shared" si="6"/>
        <v>0</v>
      </c>
    </row>
    <row r="14" spans="1:12" x14ac:dyDescent="0.25">
      <c r="A14" s="37">
        <v>3</v>
      </c>
      <c r="B14" s="163" t="s">
        <v>1432</v>
      </c>
      <c r="C14" s="7" t="s">
        <v>1433</v>
      </c>
      <c r="D14" s="7" t="s">
        <v>839</v>
      </c>
      <c r="E14" s="220">
        <v>2017</v>
      </c>
      <c r="F14" s="16">
        <f t="shared" si="0"/>
        <v>5</v>
      </c>
      <c r="G14" s="58">
        <f t="shared" si="1"/>
        <v>1</v>
      </c>
      <c r="H14" s="349" t="b">
        <f t="shared" si="2"/>
        <v>0</v>
      </c>
      <c r="I14" s="350">
        <f t="shared" si="3"/>
        <v>1</v>
      </c>
      <c r="J14" s="382">
        <f t="shared" si="4"/>
        <v>5</v>
      </c>
      <c r="K14" s="382">
        <f t="shared" si="5"/>
        <v>0</v>
      </c>
      <c r="L14" s="382">
        <f t="shared" si="6"/>
        <v>0</v>
      </c>
    </row>
    <row r="15" spans="1:12" x14ac:dyDescent="0.25">
      <c r="A15" s="37">
        <v>4</v>
      </c>
      <c r="B15" s="163" t="s">
        <v>1432</v>
      </c>
      <c r="C15" s="531" t="s">
        <v>1433</v>
      </c>
      <c r="D15" s="6" t="s">
        <v>839</v>
      </c>
      <c r="E15" s="216">
        <v>2018</v>
      </c>
      <c r="F15" s="16">
        <f t="shared" si="0"/>
        <v>5</v>
      </c>
      <c r="G15" s="58">
        <f t="shared" si="1"/>
        <v>1</v>
      </c>
      <c r="H15" s="349" t="b">
        <f t="shared" si="2"/>
        <v>0</v>
      </c>
      <c r="I15" s="350">
        <f t="shared" si="3"/>
        <v>1</v>
      </c>
      <c r="J15" s="382">
        <f t="shared" si="4"/>
        <v>5</v>
      </c>
      <c r="K15" s="382">
        <f t="shared" si="5"/>
        <v>0</v>
      </c>
      <c r="L15" s="382">
        <f t="shared" si="6"/>
        <v>0</v>
      </c>
    </row>
    <row r="16" spans="1:12" x14ac:dyDescent="0.25">
      <c r="A16" s="37">
        <v>5</v>
      </c>
      <c r="B16" s="163" t="s">
        <v>1432</v>
      </c>
      <c r="C16" s="531" t="s">
        <v>1433</v>
      </c>
      <c r="D16" s="6" t="s">
        <v>839</v>
      </c>
      <c r="E16" s="216">
        <v>2019</v>
      </c>
      <c r="F16" s="16">
        <f t="shared" si="0"/>
        <v>5</v>
      </c>
      <c r="G16" s="58">
        <f t="shared" si="1"/>
        <v>1</v>
      </c>
      <c r="H16" s="349" t="b">
        <f t="shared" si="2"/>
        <v>0</v>
      </c>
      <c r="I16" s="350">
        <f t="shared" si="3"/>
        <v>1</v>
      </c>
      <c r="J16" s="382">
        <f t="shared" si="4"/>
        <v>5</v>
      </c>
      <c r="K16" s="382">
        <f t="shared" si="5"/>
        <v>0</v>
      </c>
      <c r="L16" s="382">
        <f t="shared" si="6"/>
        <v>0</v>
      </c>
    </row>
    <row r="17" spans="1:12" ht="31.5" x14ac:dyDescent="0.25">
      <c r="A17" s="37">
        <v>6</v>
      </c>
      <c r="B17" s="163" t="s">
        <v>1431</v>
      </c>
      <c r="C17" s="532" t="s">
        <v>1430</v>
      </c>
      <c r="D17" s="6" t="s">
        <v>841</v>
      </c>
      <c r="E17" s="216">
        <v>2017</v>
      </c>
      <c r="F17" s="16">
        <f t="shared" si="0"/>
        <v>2</v>
      </c>
      <c r="G17" s="58">
        <f t="shared" si="1"/>
        <v>1</v>
      </c>
      <c r="H17" s="349" t="b">
        <f t="shared" si="2"/>
        <v>0</v>
      </c>
      <c r="I17" s="350">
        <f t="shared" si="3"/>
        <v>1</v>
      </c>
      <c r="J17" s="382">
        <f t="shared" si="4"/>
        <v>0</v>
      </c>
      <c r="K17" s="382">
        <f t="shared" si="5"/>
        <v>0</v>
      </c>
      <c r="L17" s="382">
        <f t="shared" si="6"/>
        <v>2</v>
      </c>
    </row>
    <row r="18" spans="1:12" ht="31.5" x14ac:dyDescent="0.25">
      <c r="A18" s="37">
        <v>7</v>
      </c>
      <c r="B18" s="163" t="s">
        <v>1431</v>
      </c>
      <c r="C18" s="532" t="s">
        <v>1430</v>
      </c>
      <c r="D18" s="6" t="s">
        <v>841</v>
      </c>
      <c r="E18" s="216">
        <v>2018</v>
      </c>
      <c r="F18" s="16">
        <f t="shared" si="0"/>
        <v>2</v>
      </c>
      <c r="G18" s="58">
        <f t="shared" si="1"/>
        <v>1</v>
      </c>
      <c r="H18" s="349" t="b">
        <f t="shared" si="2"/>
        <v>0</v>
      </c>
      <c r="I18" s="350">
        <f t="shared" si="3"/>
        <v>1</v>
      </c>
      <c r="J18" s="382">
        <f t="shared" si="4"/>
        <v>0</v>
      </c>
      <c r="K18" s="382">
        <f t="shared" si="5"/>
        <v>0</v>
      </c>
      <c r="L18" s="382">
        <f t="shared" si="6"/>
        <v>2</v>
      </c>
    </row>
    <row r="19" spans="1:12" ht="31.5" x14ac:dyDescent="0.25">
      <c r="A19" s="37">
        <v>8</v>
      </c>
      <c r="B19" s="163" t="s">
        <v>1431</v>
      </c>
      <c r="C19" s="532" t="s">
        <v>1430</v>
      </c>
      <c r="D19" s="6" t="s">
        <v>841</v>
      </c>
      <c r="E19" s="216">
        <v>2019</v>
      </c>
      <c r="F19" s="16">
        <f t="shared" si="0"/>
        <v>2</v>
      </c>
      <c r="G19" s="58">
        <f t="shared" si="1"/>
        <v>1</v>
      </c>
      <c r="H19" s="349" t="b">
        <f t="shared" si="2"/>
        <v>0</v>
      </c>
      <c r="I19" s="350">
        <f t="shared" si="3"/>
        <v>1</v>
      </c>
      <c r="J19" s="382">
        <f t="shared" si="4"/>
        <v>0</v>
      </c>
      <c r="K19" s="382">
        <f t="shared" si="5"/>
        <v>0</v>
      </c>
      <c r="L19" s="382">
        <f t="shared" si="6"/>
        <v>2</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532"/>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thickBot="1" x14ac:dyDescent="0.35">
      <c r="A1" s="95" t="s">
        <v>15</v>
      </c>
      <c r="B1" s="96" t="s">
        <v>13</v>
      </c>
      <c r="E1" s="97" t="s">
        <v>0</v>
      </c>
      <c r="F1" s="97" t="s">
        <v>103</v>
      </c>
    </row>
    <row r="2" spans="1:6" ht="14.45" x14ac:dyDescent="0.3">
      <c r="A2" s="98" t="s">
        <v>27</v>
      </c>
      <c r="B2" s="99">
        <v>120</v>
      </c>
      <c r="E2" s="100">
        <v>1</v>
      </c>
      <c r="F2" s="101">
        <v>1</v>
      </c>
    </row>
    <row r="3" spans="1:6" ht="14.45" x14ac:dyDescent="0.3">
      <c r="A3" s="102" t="s">
        <v>28</v>
      </c>
      <c r="B3" s="103">
        <v>100</v>
      </c>
      <c r="E3" s="100">
        <v>2</v>
      </c>
      <c r="F3" s="101">
        <v>0.9</v>
      </c>
    </row>
    <row r="4" spans="1:6" ht="14.45" x14ac:dyDescent="0.3">
      <c r="A4" s="102" t="s">
        <v>32</v>
      </c>
      <c r="B4" s="103">
        <v>80</v>
      </c>
      <c r="E4" s="100">
        <v>3</v>
      </c>
      <c r="F4" s="101">
        <v>0.8</v>
      </c>
    </row>
    <row r="5" spans="1:6" ht="14.45" x14ac:dyDescent="0.3">
      <c r="A5" s="102" t="s">
        <v>5</v>
      </c>
      <c r="B5" s="103">
        <v>80</v>
      </c>
      <c r="E5" s="100">
        <v>4</v>
      </c>
      <c r="F5" s="101">
        <v>0.7</v>
      </c>
    </row>
    <row r="6" spans="1:6" ht="14.45" x14ac:dyDescent="0.3">
      <c r="A6" s="102" t="s">
        <v>6</v>
      </c>
      <c r="B6" s="103">
        <v>70</v>
      </c>
      <c r="E6" s="100">
        <v>5</v>
      </c>
      <c r="F6" s="101">
        <v>0.6</v>
      </c>
    </row>
    <row r="7" spans="1:6" ht="14.45" x14ac:dyDescent="0.3">
      <c r="A7" s="102" t="s">
        <v>330</v>
      </c>
      <c r="B7" s="103">
        <v>80</v>
      </c>
      <c r="E7" s="100">
        <v>6</v>
      </c>
      <c r="F7" s="101">
        <v>0.5</v>
      </c>
    </row>
    <row r="8" spans="1:6" ht="14.45" x14ac:dyDescent="0.3">
      <c r="A8" s="102" t="s">
        <v>33</v>
      </c>
      <c r="B8" s="103">
        <v>40</v>
      </c>
      <c r="E8" s="100">
        <v>7</v>
      </c>
      <c r="F8" s="101">
        <v>0.5</v>
      </c>
    </row>
    <row r="9" spans="1:6" ht="14.45" x14ac:dyDescent="0.3">
      <c r="A9" s="102" t="s">
        <v>34</v>
      </c>
      <c r="B9" s="103">
        <v>30</v>
      </c>
      <c r="E9" s="100">
        <v>8</v>
      </c>
      <c r="F9" s="101">
        <v>0.5</v>
      </c>
    </row>
    <row r="10" spans="1:6" ht="14.45" x14ac:dyDescent="0.3">
      <c r="A10" s="102" t="s">
        <v>49</v>
      </c>
      <c r="B10" s="103">
        <v>30</v>
      </c>
      <c r="E10" s="100">
        <v>9</v>
      </c>
      <c r="F10" s="101">
        <v>0.5</v>
      </c>
    </row>
    <row r="11" spans="1:6" ht="14.45" x14ac:dyDescent="0.3">
      <c r="A11" s="102" t="s">
        <v>50</v>
      </c>
      <c r="B11" s="103">
        <v>20</v>
      </c>
      <c r="E11" s="100">
        <v>10</v>
      </c>
      <c r="F11" s="101">
        <v>0.5</v>
      </c>
    </row>
    <row r="12" spans="1:6" x14ac:dyDescent="0.25">
      <c r="A12" s="552" t="s">
        <v>51</v>
      </c>
      <c r="B12" s="103">
        <v>20</v>
      </c>
      <c r="E12" s="100">
        <v>11</v>
      </c>
      <c r="F12" s="101">
        <v>0.5</v>
      </c>
    </row>
    <row r="13" spans="1:6" x14ac:dyDescent="0.25">
      <c r="A13" s="553"/>
      <c r="B13" s="103">
        <v>10</v>
      </c>
      <c r="E13" s="100">
        <v>12</v>
      </c>
      <c r="F13" s="101">
        <v>0.5</v>
      </c>
    </row>
    <row r="14" spans="1:6" ht="14.45" x14ac:dyDescent="0.3">
      <c r="A14" s="102" t="s">
        <v>52</v>
      </c>
      <c r="B14" s="103">
        <v>10</v>
      </c>
      <c r="E14" s="100">
        <v>13</v>
      </c>
      <c r="F14" s="101">
        <v>0.5</v>
      </c>
    </row>
    <row r="15" spans="1:6" x14ac:dyDescent="0.25">
      <c r="A15" s="552" t="s">
        <v>10</v>
      </c>
      <c r="B15" s="104">
        <v>100</v>
      </c>
      <c r="E15" s="100">
        <v>14</v>
      </c>
      <c r="F15" s="101">
        <v>0.5</v>
      </c>
    </row>
    <row r="16" spans="1:6" x14ac:dyDescent="0.25">
      <c r="A16" s="554"/>
      <c r="B16" s="104">
        <v>200</v>
      </c>
      <c r="E16" s="100">
        <v>15</v>
      </c>
      <c r="F16" s="101">
        <v>0.5</v>
      </c>
    </row>
    <row r="17" spans="1:6" ht="15.75" thickBot="1" x14ac:dyDescent="0.3">
      <c r="A17" s="555"/>
      <c r="B17" s="105">
        <v>100</v>
      </c>
      <c r="E17" s="100">
        <v>16</v>
      </c>
      <c r="F17" s="101">
        <v>0.5</v>
      </c>
    </row>
    <row r="18" spans="1:6" ht="28.5" x14ac:dyDescent="0.25">
      <c r="A18" s="98" t="s">
        <v>326</v>
      </c>
      <c r="B18" s="106">
        <v>4</v>
      </c>
      <c r="C18" s="157" t="s">
        <v>788</v>
      </c>
      <c r="E18" s="40"/>
      <c r="F18" s="40"/>
    </row>
    <row r="19" spans="1:6" ht="29.25" thickBot="1" x14ac:dyDescent="0.3">
      <c r="A19" s="107" t="s">
        <v>327</v>
      </c>
      <c r="B19" s="108">
        <v>2</v>
      </c>
      <c r="C19" s="157" t="s">
        <v>789</v>
      </c>
      <c r="E19" s="40"/>
      <c r="F19" s="40"/>
    </row>
    <row r="20" spans="1:6" ht="28.5" x14ac:dyDescent="0.25">
      <c r="A20" s="98" t="s">
        <v>651</v>
      </c>
      <c r="B20" s="108">
        <v>1.5</v>
      </c>
      <c r="C20" s="157" t="s">
        <v>790</v>
      </c>
      <c r="E20" s="40"/>
      <c r="F20" s="40"/>
    </row>
    <row r="21" spans="1:6" ht="46.5" x14ac:dyDescent="0.25">
      <c r="A21" s="107" t="s">
        <v>662</v>
      </c>
      <c r="B21" s="108">
        <v>1</v>
      </c>
      <c r="C21" s="157" t="s">
        <v>791</v>
      </c>
      <c r="E21" s="40"/>
      <c r="F21" s="40"/>
    </row>
    <row r="22" spans="1:6" ht="29.25" thickBot="1" x14ac:dyDescent="0.3">
      <c r="A22" s="107" t="s">
        <v>663</v>
      </c>
      <c r="B22" s="108">
        <v>0.5</v>
      </c>
      <c r="C22" s="157" t="s">
        <v>803</v>
      </c>
      <c r="E22" s="40"/>
      <c r="F22" s="40"/>
    </row>
    <row r="23" spans="1:6" ht="19.5" x14ac:dyDescent="0.25">
      <c r="A23" s="98" t="s">
        <v>670</v>
      </c>
      <c r="B23" s="106">
        <v>2</v>
      </c>
      <c r="C23" s="157" t="s">
        <v>676</v>
      </c>
    </row>
    <row r="24" spans="1:6" ht="20.25" thickBot="1" x14ac:dyDescent="0.3">
      <c r="A24" s="107" t="s">
        <v>671</v>
      </c>
      <c r="B24" s="108">
        <v>1</v>
      </c>
      <c r="C24" s="158" t="s">
        <v>677</v>
      </c>
    </row>
    <row r="25" spans="1:6" ht="19.5" x14ac:dyDescent="0.25">
      <c r="A25" s="98" t="s">
        <v>672</v>
      </c>
      <c r="B25" s="108">
        <f>1.5/2</f>
        <v>0.75</v>
      </c>
      <c r="C25" s="158" t="s">
        <v>678</v>
      </c>
    </row>
    <row r="26" spans="1:6" ht="37.5" x14ac:dyDescent="0.25">
      <c r="A26" s="107" t="s">
        <v>673</v>
      </c>
      <c r="B26" s="108">
        <v>0.5</v>
      </c>
      <c r="C26" s="157" t="s">
        <v>679</v>
      </c>
    </row>
    <row r="27" spans="1:6" ht="19.5" x14ac:dyDescent="0.25">
      <c r="A27" s="107" t="s">
        <v>674</v>
      </c>
      <c r="B27" s="108">
        <f>0.5/2</f>
        <v>0.25</v>
      </c>
      <c r="C27" s="157"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49" t="s">
        <v>328</v>
      </c>
      <c r="B36" s="111">
        <v>100</v>
      </c>
    </row>
    <row r="37" spans="1:2" x14ac:dyDescent="0.25">
      <c r="A37" s="550"/>
      <c r="B37" s="112">
        <v>80</v>
      </c>
    </row>
    <row r="38" spans="1:2" x14ac:dyDescent="0.25">
      <c r="A38" s="550"/>
      <c r="B38" s="112">
        <v>0</v>
      </c>
    </row>
    <row r="39" spans="1:2" ht="15.75" thickBot="1" x14ac:dyDescent="0.3">
      <c r="A39" s="551"/>
      <c r="B39" s="113">
        <v>20</v>
      </c>
    </row>
    <row r="40" spans="1:2" x14ac:dyDescent="0.25">
      <c r="A40" s="549" t="s">
        <v>329</v>
      </c>
      <c r="B40" s="114">
        <v>30</v>
      </c>
    </row>
    <row r="41" spans="1:2" x14ac:dyDescent="0.25">
      <c r="A41" s="550"/>
      <c r="B41" s="112">
        <v>20</v>
      </c>
    </row>
    <row r="42" spans="1:2" x14ac:dyDescent="0.25">
      <c r="A42" s="550"/>
      <c r="B42" s="112">
        <v>15</v>
      </c>
    </row>
    <row r="43" spans="1:2" ht="15.75" thickBot="1" x14ac:dyDescent="0.3">
      <c r="A43" s="551"/>
      <c r="B43" s="115">
        <v>10</v>
      </c>
    </row>
    <row r="44" spans="1:2" x14ac:dyDescent="0.25">
      <c r="A44" s="549" t="s">
        <v>11</v>
      </c>
      <c r="B44" s="111">
        <v>60</v>
      </c>
    </row>
    <row r="45" spans="1:2" x14ac:dyDescent="0.25">
      <c r="A45" s="550"/>
      <c r="B45" s="112">
        <v>40</v>
      </c>
    </row>
    <row r="46" spans="1:2" x14ac:dyDescent="0.25">
      <c r="A46" s="550"/>
      <c r="B46" s="112">
        <v>0</v>
      </c>
    </row>
    <row r="47" spans="1:2" ht="15.75" thickBot="1" x14ac:dyDescent="0.3">
      <c r="A47" s="551"/>
      <c r="B47" s="113">
        <v>20</v>
      </c>
    </row>
    <row r="48" spans="1:2" x14ac:dyDescent="0.25">
      <c r="A48" s="549" t="s">
        <v>12</v>
      </c>
      <c r="B48" s="111">
        <v>15</v>
      </c>
    </row>
    <row r="49" spans="1:2" x14ac:dyDescent="0.25">
      <c r="A49" s="550"/>
      <c r="B49" s="112">
        <v>10</v>
      </c>
    </row>
    <row r="50" spans="1:2" x14ac:dyDescent="0.25">
      <c r="A50" s="550"/>
      <c r="B50" s="112">
        <v>7.5</v>
      </c>
    </row>
    <row r="51" spans="1:2" ht="15.75" thickBot="1" x14ac:dyDescent="0.3">
      <c r="A51" s="550"/>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J21" sqref="J2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Electronică și Telecomunicații</v>
      </c>
      <c r="B2" s="332"/>
      <c r="E2" s="61"/>
      <c r="F2" s="63"/>
      <c r="G2" s="62"/>
      <c r="H2" s="289"/>
    </row>
    <row r="3" spans="1:9" s="60" customFormat="1" x14ac:dyDescent="0.2">
      <c r="A3" s="346" t="str">
        <f>IF(ISBLANK(departament),"","Departamentul " &amp; departament)</f>
        <v>Departamentul Electronică Aplicată</v>
      </c>
      <c r="B3" s="332"/>
      <c r="E3" s="61"/>
      <c r="F3" s="63"/>
      <c r="G3" s="62"/>
      <c r="H3" s="289"/>
    </row>
    <row r="4" spans="1:9" x14ac:dyDescent="0.25">
      <c r="A4" s="559" t="s">
        <v>836</v>
      </c>
      <c r="B4" s="559"/>
      <c r="C4" s="559"/>
      <c r="D4" s="559"/>
      <c r="E4" s="559"/>
      <c r="F4" s="559"/>
      <c r="G4" s="226"/>
      <c r="H4" s="291"/>
    </row>
    <row r="5" spans="1:9" x14ac:dyDescent="0.25">
      <c r="A5" s="559" t="s">
        <v>848</v>
      </c>
      <c r="B5" s="559"/>
      <c r="C5" s="559"/>
      <c r="D5" s="559"/>
      <c r="E5" s="559"/>
      <c r="F5" s="559"/>
      <c r="G5" s="226"/>
    </row>
    <row r="6" spans="1:9" ht="13.5" customHeight="1" x14ac:dyDescent="0.25">
      <c r="E6" s="64"/>
      <c r="F6" s="347" t="str">
        <f>CONCATENATE(functie," ",nume_candidat)</f>
        <v>Profesor Lascu Dan</v>
      </c>
    </row>
    <row r="7" spans="1:9" ht="18.75" customHeight="1" x14ac:dyDescent="0.25">
      <c r="A7" s="557" t="s">
        <v>338</v>
      </c>
      <c r="B7" s="567" t="s">
        <v>849</v>
      </c>
      <c r="C7" s="567" t="s">
        <v>842</v>
      </c>
      <c r="D7" s="567" t="s">
        <v>843</v>
      </c>
      <c r="E7" s="567" t="s">
        <v>2</v>
      </c>
      <c r="F7" s="557" t="s">
        <v>544</v>
      </c>
      <c r="G7" s="557" t="s">
        <v>4</v>
      </c>
      <c r="H7" s="578" t="s">
        <v>541</v>
      </c>
      <c r="I7" s="564" t="s">
        <v>551</v>
      </c>
    </row>
    <row r="8" spans="1:9" ht="18.75" customHeight="1" x14ac:dyDescent="0.25">
      <c r="A8" s="574"/>
      <c r="B8" s="568"/>
      <c r="C8" s="568"/>
      <c r="D8" s="568"/>
      <c r="E8" s="568"/>
      <c r="F8" s="574"/>
      <c r="G8" s="574"/>
      <c r="H8" s="579"/>
      <c r="I8" s="564"/>
    </row>
    <row r="9" spans="1:9" ht="18.75" customHeight="1" x14ac:dyDescent="0.25">
      <c r="A9" s="574"/>
      <c r="B9" s="568"/>
      <c r="C9" s="568"/>
      <c r="D9" s="568"/>
      <c r="E9" s="568"/>
      <c r="F9" s="558"/>
      <c r="G9" s="558"/>
      <c r="H9" s="579"/>
      <c r="I9" s="564"/>
    </row>
    <row r="10" spans="1:9" ht="18.75" customHeight="1" x14ac:dyDescent="0.25">
      <c r="A10" s="558"/>
      <c r="B10" s="569"/>
      <c r="C10" s="569"/>
      <c r="D10" s="569"/>
      <c r="E10" s="569"/>
      <c r="F10" s="348" t="str">
        <f>CONCATENATE("ultimii ",durata_evaluare," ani")</f>
        <v>ultimii 5 ani</v>
      </c>
      <c r="G10" s="348" t="str">
        <f>CONCATENATE("ultimii                                  ",durata_evaluare," ani")</f>
        <v>ultimii                                  5 ani</v>
      </c>
      <c r="H10" s="580"/>
      <c r="I10" s="564"/>
    </row>
    <row r="11" spans="1:9" x14ac:dyDescent="0.25">
      <c r="A11" s="88"/>
      <c r="B11" s="65"/>
      <c r="C11" s="65"/>
      <c r="D11" s="65"/>
      <c r="E11" s="30"/>
      <c r="F11" s="148">
        <f>SUMIF(F12:F1012,"&gt;0")</f>
        <v>0</v>
      </c>
      <c r="G11" s="4">
        <f>SUMIF(G12:G1110,"&gt;0")</f>
        <v>0</v>
      </c>
      <c r="H11" s="298"/>
    </row>
    <row r="12" spans="1:9" x14ac:dyDescent="0.25">
      <c r="A12" s="37">
        <v>1</v>
      </c>
      <c r="B12" s="163"/>
      <c r="C12" s="7"/>
      <c r="D12" s="7"/>
      <c r="E12" s="220"/>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25">
      <c r="A13" s="37">
        <v>2</v>
      </c>
      <c r="B13" s="163"/>
      <c r="C13" s="7"/>
      <c r="D13" s="7"/>
      <c r="E13" s="220"/>
      <c r="F13" s="16" t="str">
        <f t="shared" si="0"/>
        <v/>
      </c>
      <c r="G13" s="58" t="str">
        <f t="shared" si="1"/>
        <v/>
      </c>
      <c r="H13" s="349" t="b">
        <f t="shared" si="2"/>
        <v>0</v>
      </c>
      <c r="I13" s="350">
        <f t="shared" si="3"/>
        <v>1</v>
      </c>
    </row>
    <row r="14" spans="1:9" x14ac:dyDescent="0.25">
      <c r="A14" s="37">
        <v>3</v>
      </c>
      <c r="B14" s="163"/>
      <c r="C14" s="7"/>
      <c r="D14" s="7"/>
      <c r="E14" s="220"/>
      <c r="F14" s="16" t="str">
        <f t="shared" si="0"/>
        <v/>
      </c>
      <c r="G14" s="58" t="str">
        <f t="shared" si="1"/>
        <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L28" sqref="L28"/>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Electronică Aplicată</v>
      </c>
      <c r="C3" s="61"/>
      <c r="D3" s="63"/>
      <c r="E3" s="62"/>
      <c r="F3" s="289"/>
    </row>
    <row r="4" spans="1:7" x14ac:dyDescent="0.25">
      <c r="A4" s="559" t="s">
        <v>836</v>
      </c>
      <c r="B4" s="559"/>
      <c r="C4" s="559"/>
      <c r="D4" s="559"/>
      <c r="E4" s="559"/>
      <c r="F4" s="559"/>
    </row>
    <row r="5" spans="1:7" x14ac:dyDescent="0.25">
      <c r="A5" s="632" t="s">
        <v>1082</v>
      </c>
      <c r="B5" s="632"/>
      <c r="C5" s="632"/>
      <c r="D5" s="632"/>
      <c r="E5" s="226"/>
    </row>
    <row r="6" spans="1:7" ht="13.5" customHeight="1" x14ac:dyDescent="0.25">
      <c r="C6" s="64"/>
      <c r="D6" s="347" t="str">
        <f>CONCATENATE(functie," ",nume_candidat)</f>
        <v>Profesor Lascu Dan</v>
      </c>
    </row>
    <row r="7" spans="1:7" ht="18.75" customHeight="1" x14ac:dyDescent="0.25">
      <c r="A7" s="557" t="s">
        <v>338</v>
      </c>
      <c r="B7" s="557" t="s">
        <v>1045</v>
      </c>
      <c r="C7" s="567" t="s">
        <v>2</v>
      </c>
      <c r="D7" s="557" t="s">
        <v>544</v>
      </c>
      <c r="E7" s="557" t="s">
        <v>4</v>
      </c>
      <c r="F7" s="578" t="s">
        <v>541</v>
      </c>
      <c r="G7" s="564" t="s">
        <v>551</v>
      </c>
    </row>
    <row r="8" spans="1:7" ht="18.75" customHeight="1" x14ac:dyDescent="0.25">
      <c r="A8" s="574"/>
      <c r="B8" s="574"/>
      <c r="C8" s="568"/>
      <c r="D8" s="574"/>
      <c r="E8" s="574"/>
      <c r="F8" s="579"/>
      <c r="G8" s="564"/>
    </row>
    <row r="9" spans="1:7" ht="18.75" customHeight="1" x14ac:dyDescent="0.25">
      <c r="A9" s="574"/>
      <c r="B9" s="574"/>
      <c r="C9" s="568"/>
      <c r="D9" s="558"/>
      <c r="E9" s="558"/>
      <c r="F9" s="579"/>
      <c r="G9" s="564"/>
    </row>
    <row r="10" spans="1:7" ht="18.75" customHeight="1" x14ac:dyDescent="0.25">
      <c r="A10" s="558"/>
      <c r="B10" s="558"/>
      <c r="C10" s="569"/>
      <c r="D10" s="348" t="str">
        <f>CONCATENATE("ultimii ",durata_evaluare," ani")</f>
        <v>ultimii 5 ani</v>
      </c>
      <c r="E10" s="348" t="str">
        <f>CONCATENATE("ultimii                                  ",durata_evaluare," ani")</f>
        <v>ultimii                                  5 ani</v>
      </c>
      <c r="F10" s="580"/>
      <c r="G10" s="564"/>
    </row>
    <row r="11" spans="1:7" x14ac:dyDescent="0.25">
      <c r="A11" s="88"/>
      <c r="B11" s="65"/>
      <c r="C11" s="30"/>
      <c r="D11" s="148">
        <f>SUMIF(D12:D1012,"&gt;0")</f>
        <v>0</v>
      </c>
      <c r="E11" s="4">
        <f>SUMIF(E12:E1110,"&gt;0")</f>
        <v>0</v>
      </c>
      <c r="F11" s="298"/>
    </row>
    <row r="12" spans="1:7" x14ac:dyDescent="0.25">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380"/>
      <c r="C13" s="220"/>
      <c r="D13" s="16" t="str">
        <f t="shared" si="0"/>
        <v/>
      </c>
      <c r="E13" s="58" t="str">
        <f t="shared" si="1"/>
        <v/>
      </c>
      <c r="F13" s="349" t="b">
        <f t="shared" si="2"/>
        <v>0</v>
      </c>
      <c r="G13" s="350">
        <f t="shared" si="3"/>
        <v>1</v>
      </c>
    </row>
    <row r="14" spans="1:7" x14ac:dyDescent="0.25">
      <c r="A14" s="37">
        <v>3</v>
      </c>
      <c r="B14" s="380"/>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C26" sqref="C26"/>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Electronică Aplicată</v>
      </c>
      <c r="D3" s="61"/>
      <c r="E3" s="63"/>
      <c r="F3" s="62"/>
      <c r="G3" s="289"/>
    </row>
    <row r="4" spans="1:8" x14ac:dyDescent="0.25">
      <c r="A4" s="559" t="s">
        <v>836</v>
      </c>
      <c r="B4" s="559"/>
      <c r="C4" s="559"/>
      <c r="D4" s="559"/>
      <c r="E4" s="559"/>
      <c r="F4" s="559"/>
      <c r="G4" s="559"/>
    </row>
    <row r="5" spans="1:8" x14ac:dyDescent="0.25">
      <c r="A5" s="559" t="s">
        <v>850</v>
      </c>
      <c r="B5" s="559"/>
      <c r="C5" s="559"/>
      <c r="D5" s="559"/>
      <c r="E5" s="559"/>
      <c r="F5" s="226"/>
    </row>
    <row r="6" spans="1:8" ht="13.5" customHeight="1" x14ac:dyDescent="0.25">
      <c r="D6" s="64"/>
      <c r="E6" s="347" t="str">
        <f>CONCATENATE(functie," ",nume_candidat)</f>
        <v>Profesor Lascu Dan</v>
      </c>
    </row>
    <row r="7" spans="1:8" ht="18.75" customHeight="1" x14ac:dyDescent="0.25">
      <c r="A7" s="557" t="s">
        <v>338</v>
      </c>
      <c r="B7" s="557" t="s">
        <v>1046</v>
      </c>
      <c r="C7" s="557" t="s">
        <v>460</v>
      </c>
      <c r="D7" s="567" t="s">
        <v>2</v>
      </c>
      <c r="E7" s="557" t="s">
        <v>544</v>
      </c>
      <c r="F7" s="557" t="s">
        <v>4</v>
      </c>
      <c r="G7" s="578" t="s">
        <v>541</v>
      </c>
      <c r="H7" s="564" t="s">
        <v>551</v>
      </c>
    </row>
    <row r="8" spans="1:8" ht="18.75" customHeight="1" x14ac:dyDescent="0.25">
      <c r="A8" s="574"/>
      <c r="B8" s="574"/>
      <c r="C8" s="574"/>
      <c r="D8" s="568"/>
      <c r="E8" s="574"/>
      <c r="F8" s="574"/>
      <c r="G8" s="579"/>
      <c r="H8" s="564"/>
    </row>
    <row r="9" spans="1:8" ht="18.75" customHeight="1" x14ac:dyDescent="0.25">
      <c r="A9" s="574"/>
      <c r="B9" s="574"/>
      <c r="C9" s="574"/>
      <c r="D9" s="568"/>
      <c r="E9" s="558"/>
      <c r="F9" s="558"/>
      <c r="G9" s="579"/>
      <c r="H9" s="564"/>
    </row>
    <row r="10" spans="1:8" ht="18.75" customHeight="1" x14ac:dyDescent="0.25">
      <c r="A10" s="558"/>
      <c r="B10" s="558"/>
      <c r="C10" s="558"/>
      <c r="D10" s="569"/>
      <c r="E10" s="348" t="str">
        <f>CONCATENATE("ultimii ",durata_evaluare," ani")</f>
        <v>ultimii 5 ani</v>
      </c>
      <c r="F10" s="348" t="str">
        <f>CONCATENATE("ultimii                                  ",durata_evaluare," ani")</f>
        <v>ultimii                                  5 ani</v>
      </c>
      <c r="G10" s="580"/>
      <c r="H10" s="564"/>
    </row>
    <row r="11" spans="1:8" x14ac:dyDescent="0.25">
      <c r="A11" s="88"/>
      <c r="B11" s="65"/>
      <c r="C11" s="65"/>
      <c r="D11" s="30"/>
      <c r="E11" s="148">
        <f>SUMIF(E12:E1012,"&gt;0")</f>
        <v>0</v>
      </c>
      <c r="F11" s="4">
        <f>SUMIF(F12:F1110,"&gt;0")</f>
        <v>0</v>
      </c>
      <c r="G11" s="298"/>
    </row>
    <row r="12" spans="1:8" x14ac:dyDescent="0.25">
      <c r="A12" s="37">
        <v>1</v>
      </c>
      <c r="B12" s="7"/>
      <c r="C12" s="7"/>
      <c r="D12" s="220"/>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25">
      <c r="A13" s="37">
        <v>2</v>
      </c>
      <c r="B13" s="7"/>
      <c r="C13" s="7"/>
      <c r="D13" s="220"/>
      <c r="E13" s="16" t="str">
        <f t="shared" si="0"/>
        <v/>
      </c>
      <c r="F13" s="58" t="str">
        <f t="shared" si="1"/>
        <v/>
      </c>
      <c r="G13" s="349" t="b">
        <f t="shared" si="2"/>
        <v>0</v>
      </c>
      <c r="H13" s="350">
        <f t="shared" si="3"/>
        <v>1</v>
      </c>
    </row>
    <row r="14" spans="1:8" x14ac:dyDescent="0.25">
      <c r="A14" s="37">
        <v>3</v>
      </c>
      <c r="B14" s="7"/>
      <c r="C14" s="7"/>
      <c r="D14" s="220"/>
      <c r="E14" s="16" t="str">
        <f t="shared" si="0"/>
        <v/>
      </c>
      <c r="F14" s="58" t="str">
        <f t="shared" si="1"/>
        <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J19" sqref="J19"/>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Electronică și Telecomunicații</v>
      </c>
      <c r="D2" s="61"/>
      <c r="E2" s="63"/>
      <c r="F2" s="50"/>
      <c r="G2" s="62"/>
      <c r="H2" s="289"/>
      <c r="J2"/>
    </row>
    <row r="3" spans="1:10" s="60" customFormat="1" x14ac:dyDescent="0.25">
      <c r="A3" s="346" t="str">
        <f>IF(ISBLANK(departament),"","Departamentul " &amp; departament)</f>
        <v>Departamentul Electronică Aplicată</v>
      </c>
      <c r="D3" s="61"/>
      <c r="E3" s="63"/>
      <c r="F3" s="50"/>
      <c r="G3" s="62"/>
      <c r="H3" s="289"/>
      <c r="J3"/>
    </row>
    <row r="4" spans="1:10" x14ac:dyDescent="0.25">
      <c r="A4" s="559" t="s">
        <v>836</v>
      </c>
      <c r="B4" s="559"/>
      <c r="C4" s="559"/>
      <c r="D4" s="559"/>
      <c r="E4" s="559"/>
      <c r="F4" s="559"/>
      <c r="G4" s="559"/>
      <c r="H4" s="559"/>
    </row>
    <row r="5" spans="1:10" x14ac:dyDescent="0.25">
      <c r="A5" s="559" t="s">
        <v>858</v>
      </c>
      <c r="B5" s="559"/>
      <c r="C5" s="559"/>
      <c r="D5" s="559"/>
      <c r="E5" s="559"/>
      <c r="F5" s="423"/>
      <c r="G5" s="226"/>
    </row>
    <row r="6" spans="1:10" ht="13.5" customHeight="1" x14ac:dyDescent="0.25">
      <c r="D6" s="64"/>
      <c r="E6" s="347" t="str">
        <f>CONCATENATE(functie," ",nume_candidat)</f>
        <v>Profesor Lascu Dan</v>
      </c>
      <c r="F6" s="347" t="str">
        <f>CONCATENATE(functie," ",nume_candidat)</f>
        <v>Profesor Lascu Dan</v>
      </c>
    </row>
    <row r="7" spans="1:10" ht="18.75" customHeight="1" x14ac:dyDescent="0.25">
      <c r="A7" s="557" t="s">
        <v>338</v>
      </c>
      <c r="B7" s="557" t="s">
        <v>861</v>
      </c>
      <c r="C7" s="557" t="s">
        <v>1047</v>
      </c>
      <c r="D7" s="567" t="s">
        <v>2</v>
      </c>
      <c r="E7" s="557" t="s">
        <v>544</v>
      </c>
      <c r="F7" s="567" t="s">
        <v>1102</v>
      </c>
      <c r="G7" s="557" t="s">
        <v>4</v>
      </c>
      <c r="H7" s="578" t="s">
        <v>541</v>
      </c>
      <c r="I7" s="564" t="s">
        <v>551</v>
      </c>
    </row>
    <row r="8" spans="1:10" ht="18.75" customHeight="1" x14ac:dyDescent="0.25">
      <c r="A8" s="574"/>
      <c r="B8" s="574"/>
      <c r="C8" s="574"/>
      <c r="D8" s="568"/>
      <c r="E8" s="574"/>
      <c r="F8" s="568"/>
      <c r="G8" s="574"/>
      <c r="H8" s="579"/>
      <c r="I8" s="564"/>
    </row>
    <row r="9" spans="1:10" ht="18.75" customHeight="1" x14ac:dyDescent="0.25">
      <c r="A9" s="574"/>
      <c r="B9" s="574"/>
      <c r="C9" s="574"/>
      <c r="D9" s="568"/>
      <c r="E9" s="558"/>
      <c r="F9" s="568"/>
      <c r="G9" s="558"/>
      <c r="H9" s="579"/>
      <c r="I9" s="564"/>
    </row>
    <row r="10" spans="1:10" ht="18.75" customHeight="1" x14ac:dyDescent="0.25">
      <c r="A10" s="558"/>
      <c r="B10" s="558"/>
      <c r="C10" s="558"/>
      <c r="D10" s="569"/>
      <c r="E10" s="348" t="str">
        <f>CONCATENATE("ultimii ",durata_evaluare," ani")</f>
        <v>ultimii 5 ani</v>
      </c>
      <c r="F10" s="569"/>
      <c r="G10" s="348" t="str">
        <f>CONCATENATE("ultimii                                  ",durata_evaluare," ani")</f>
        <v>ultimii                                  5 ani</v>
      </c>
      <c r="H10" s="580"/>
      <c r="I10" s="564"/>
    </row>
    <row r="11" spans="1:10" x14ac:dyDescent="0.25">
      <c r="A11" s="88"/>
      <c r="B11" s="65"/>
      <c r="C11" s="65"/>
      <c r="D11" s="30"/>
      <c r="E11" s="148">
        <f>SUMIF(E12:E1012,"&gt;0")</f>
        <v>225</v>
      </c>
      <c r="F11" s="435"/>
      <c r="G11" s="4">
        <f>SUMIF(G12:G1110,"&gt;0")</f>
        <v>25</v>
      </c>
      <c r="H11" s="298"/>
    </row>
    <row r="12" spans="1:10" x14ac:dyDescent="0.25">
      <c r="A12" s="37">
        <v>1</v>
      </c>
      <c r="B12" s="525" t="s">
        <v>1441</v>
      </c>
      <c r="C12" s="523" t="s">
        <v>855</v>
      </c>
      <c r="D12" s="529">
        <v>2015</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525" t="s">
        <v>1434</v>
      </c>
      <c r="C13" s="523" t="s">
        <v>855</v>
      </c>
      <c r="D13" s="529">
        <v>2016</v>
      </c>
      <c r="E13" s="16">
        <f t="shared" si="0"/>
        <v>10</v>
      </c>
      <c r="F13" s="37"/>
      <c r="G13" s="58">
        <f t="shared" si="1"/>
        <v>1</v>
      </c>
      <c r="H13" s="349" t="b">
        <f t="shared" si="2"/>
        <v>0</v>
      </c>
      <c r="I13" s="350">
        <f t="shared" si="3"/>
        <v>1</v>
      </c>
    </row>
    <row r="14" spans="1:10" x14ac:dyDescent="0.25">
      <c r="A14" s="37">
        <v>3</v>
      </c>
      <c r="B14" s="525" t="s">
        <v>1435</v>
      </c>
      <c r="C14" s="523" t="s">
        <v>855</v>
      </c>
      <c r="D14" s="529">
        <v>2016</v>
      </c>
      <c r="E14" s="16">
        <f t="shared" si="0"/>
        <v>10</v>
      </c>
      <c r="F14" s="37"/>
      <c r="G14" s="58">
        <f t="shared" si="1"/>
        <v>1</v>
      </c>
      <c r="H14" s="349" t="b">
        <f t="shared" si="2"/>
        <v>0</v>
      </c>
      <c r="I14" s="350">
        <f t="shared" si="3"/>
        <v>1</v>
      </c>
    </row>
    <row r="15" spans="1:10" x14ac:dyDescent="0.25">
      <c r="A15" s="37">
        <v>4</v>
      </c>
      <c r="B15" s="525" t="s">
        <v>1436</v>
      </c>
      <c r="C15" s="517" t="s">
        <v>855</v>
      </c>
      <c r="D15" s="528">
        <v>2016</v>
      </c>
      <c r="E15" s="16">
        <f t="shared" si="0"/>
        <v>10</v>
      </c>
      <c r="F15" s="37"/>
      <c r="G15" s="58">
        <f t="shared" si="1"/>
        <v>1</v>
      </c>
      <c r="H15" s="349" t="b">
        <f t="shared" si="2"/>
        <v>0</v>
      </c>
      <c r="I15" s="350">
        <f t="shared" si="3"/>
        <v>1</v>
      </c>
    </row>
    <row r="16" spans="1:10" x14ac:dyDescent="0.25">
      <c r="A16" s="37">
        <v>5</v>
      </c>
      <c r="B16" s="524" t="s">
        <v>1437</v>
      </c>
      <c r="C16" s="517" t="s">
        <v>855</v>
      </c>
      <c r="D16" s="528">
        <v>2016</v>
      </c>
      <c r="E16" s="16">
        <f t="shared" si="0"/>
        <v>10</v>
      </c>
      <c r="F16" s="37"/>
      <c r="G16" s="58">
        <f t="shared" si="1"/>
        <v>1</v>
      </c>
      <c r="H16" s="349" t="b">
        <f t="shared" si="2"/>
        <v>0</v>
      </c>
      <c r="I16" s="350">
        <f t="shared" si="3"/>
        <v>1</v>
      </c>
    </row>
    <row r="17" spans="1:9" x14ac:dyDescent="0.25">
      <c r="A17" s="37">
        <v>6</v>
      </c>
      <c r="B17" s="526" t="s">
        <v>1438</v>
      </c>
      <c r="C17" s="517" t="s">
        <v>855</v>
      </c>
      <c r="D17" s="528">
        <v>2017</v>
      </c>
      <c r="E17" s="16">
        <f>IF(OR($B17="",,$D17&lt;an_initial,$D17&gt;an_final),"",G17*(HLOOKUP(C17,iii5punctaje,2,FALSE)))</f>
        <v>10</v>
      </c>
      <c r="F17" s="37"/>
      <c r="G17" s="58">
        <f>IF(OR($B17="",,$D17="",$D17&gt;an_final),"",IF($D17&gt;=an_initial,1,""))</f>
        <v>1</v>
      </c>
      <c r="H17" s="349" t="b">
        <f>IF(nume_candidat="",FALSE,ISNUMBER(SEARCH(nume_candidat,$B17)))</f>
        <v>0</v>
      </c>
      <c r="I17" s="350">
        <f>LEN(B17)-LEN(SUBSTITUTE(B17,",",""))+1</f>
        <v>1</v>
      </c>
    </row>
    <row r="18" spans="1:9" x14ac:dyDescent="0.25">
      <c r="A18" s="37">
        <v>7</v>
      </c>
      <c r="B18" s="524" t="s">
        <v>1439</v>
      </c>
      <c r="C18" s="517" t="s">
        <v>855</v>
      </c>
      <c r="D18" s="528">
        <v>2017</v>
      </c>
      <c r="E18" s="16">
        <f>IF(OR($B18="",,$D18&lt;an_initial,$D18&gt;an_final),"",G18*(HLOOKUP(C18,iii5punctaje,2,FALSE)))</f>
        <v>10</v>
      </c>
      <c r="F18" s="37"/>
      <c r="G18" s="58">
        <f>IF(OR($B18="",,$D18="",$D18&gt;an_final),"",IF($D18&gt;=an_initial,1,""))</f>
        <v>1</v>
      </c>
      <c r="H18" s="349" t="b">
        <f>IF(nume_candidat="",FALSE,ISNUMBER(SEARCH(nume_candidat,$B18)))</f>
        <v>0</v>
      </c>
      <c r="I18" s="350">
        <f>LEN(B18)-LEN(SUBSTITUTE(B18,",",""))+1</f>
        <v>1</v>
      </c>
    </row>
    <row r="19" spans="1:9" x14ac:dyDescent="0.25">
      <c r="A19" s="37">
        <v>8</v>
      </c>
      <c r="B19" s="524" t="s">
        <v>1440</v>
      </c>
      <c r="C19" s="517" t="s">
        <v>855</v>
      </c>
      <c r="D19" s="528">
        <v>2017</v>
      </c>
      <c r="E19" s="16">
        <f>IF(OR($B19="",,$D19&lt;an_initial,$D19&gt;an_final),"",G19*(HLOOKUP(C19,iii5punctaje,2,FALSE)))</f>
        <v>10</v>
      </c>
      <c r="F19" s="37"/>
      <c r="G19" s="58">
        <f>IF(OR($B19="",,$D19="",$D19&gt;an_final),"",IF($D19&gt;=an_initial,1,""))</f>
        <v>1</v>
      </c>
      <c r="H19" s="349" t="b">
        <f>IF(nume_candidat="",FALSE,ISNUMBER(SEARCH(nume_candidat,$B19)))</f>
        <v>0</v>
      </c>
      <c r="I19" s="350">
        <f>LEN(B19)-LEN(SUBSTITUTE(B19,",",""))+1</f>
        <v>1</v>
      </c>
    </row>
    <row r="20" spans="1:9" x14ac:dyDescent="0.25">
      <c r="A20" s="37">
        <v>9</v>
      </c>
      <c r="B20" s="524" t="s">
        <v>1442</v>
      </c>
      <c r="C20" s="517" t="s">
        <v>855</v>
      </c>
      <c r="D20" s="528">
        <v>2018</v>
      </c>
      <c r="E20" s="16">
        <f>IF(OR($B20="",,$D20&lt;an_initial,$D20&gt;an_final),"",G20*(HLOOKUP(C20,iii5punctaje,2,FALSE)))</f>
        <v>10</v>
      </c>
      <c r="F20" s="37"/>
      <c r="G20" s="58">
        <f>IF(OR($B20="",,$D20="",$D20&gt;an_final),"",IF($D20&gt;=an_initial,1,""))</f>
        <v>1</v>
      </c>
      <c r="H20" s="349" t="b">
        <f>IF(nume_candidat="",FALSE,ISNUMBER(SEARCH(nume_candidat,$B20)))</f>
        <v>0</v>
      </c>
      <c r="I20" s="350">
        <f>LEN(B20)-LEN(SUBSTITUTE(B20,",",""))+1</f>
        <v>1</v>
      </c>
    </row>
    <row r="21" spans="1:9" x14ac:dyDescent="0.25">
      <c r="A21" s="37">
        <v>10</v>
      </c>
      <c r="B21" s="526" t="s">
        <v>1437</v>
      </c>
      <c r="C21" s="6" t="s">
        <v>855</v>
      </c>
      <c r="D21" s="528">
        <v>2018</v>
      </c>
      <c r="E21" s="16">
        <f t="shared" si="0"/>
        <v>10</v>
      </c>
      <c r="F21" s="37"/>
      <c r="G21" s="58">
        <f t="shared" si="1"/>
        <v>1</v>
      </c>
      <c r="H21" s="349" t="b">
        <f t="shared" si="2"/>
        <v>0</v>
      </c>
      <c r="I21" s="350">
        <f t="shared" si="3"/>
        <v>1</v>
      </c>
    </row>
    <row r="22" spans="1:9" x14ac:dyDescent="0.25">
      <c r="A22" s="37">
        <v>11</v>
      </c>
      <c r="B22" s="6" t="s">
        <v>860</v>
      </c>
      <c r="C22" s="6" t="s">
        <v>856</v>
      </c>
      <c r="D22" s="216">
        <v>2015</v>
      </c>
      <c r="E22" s="16">
        <f t="shared" si="0"/>
        <v>10</v>
      </c>
      <c r="F22" s="37"/>
      <c r="G22" s="58">
        <f t="shared" si="1"/>
        <v>1</v>
      </c>
      <c r="H22" s="349" t="b">
        <f t="shared" si="2"/>
        <v>0</v>
      </c>
      <c r="I22" s="350">
        <f t="shared" si="3"/>
        <v>1</v>
      </c>
    </row>
    <row r="23" spans="1:9" x14ac:dyDescent="0.25">
      <c r="A23" s="37">
        <v>12</v>
      </c>
      <c r="B23" s="6" t="s">
        <v>1443</v>
      </c>
      <c r="C23" s="6" t="s">
        <v>856</v>
      </c>
      <c r="D23" s="216">
        <v>2015</v>
      </c>
      <c r="E23" s="16">
        <f t="shared" si="0"/>
        <v>10</v>
      </c>
      <c r="F23" s="37"/>
      <c r="G23" s="58">
        <f t="shared" si="1"/>
        <v>1</v>
      </c>
      <c r="H23" s="349" t="b">
        <f t="shared" si="2"/>
        <v>0</v>
      </c>
      <c r="I23" s="350">
        <f t="shared" si="3"/>
        <v>1</v>
      </c>
    </row>
    <row r="24" spans="1:9" x14ac:dyDescent="0.25">
      <c r="A24" s="37">
        <v>13</v>
      </c>
      <c r="B24" s="6" t="s">
        <v>859</v>
      </c>
      <c r="C24" s="6" t="s">
        <v>857</v>
      </c>
      <c r="D24" s="216">
        <v>2015</v>
      </c>
      <c r="E24" s="16">
        <f t="shared" si="0"/>
        <v>5</v>
      </c>
      <c r="F24" s="37"/>
      <c r="G24" s="58">
        <f t="shared" si="1"/>
        <v>1</v>
      </c>
      <c r="H24" s="349" t="b">
        <f t="shared" si="2"/>
        <v>0</v>
      </c>
      <c r="I24" s="350">
        <f t="shared" si="3"/>
        <v>1</v>
      </c>
    </row>
    <row r="25" spans="1:9" x14ac:dyDescent="0.25">
      <c r="A25" s="37">
        <v>14</v>
      </c>
      <c r="B25" s="527" t="s">
        <v>860</v>
      </c>
      <c r="C25" s="6" t="s">
        <v>856</v>
      </c>
      <c r="D25" s="216">
        <v>2016</v>
      </c>
      <c r="E25" s="16">
        <f t="shared" si="0"/>
        <v>10</v>
      </c>
      <c r="F25" s="37"/>
      <c r="G25" s="58">
        <f t="shared" si="1"/>
        <v>1</v>
      </c>
      <c r="H25" s="349" t="b">
        <f t="shared" si="2"/>
        <v>0</v>
      </c>
      <c r="I25" s="350">
        <f t="shared" si="3"/>
        <v>1</v>
      </c>
    </row>
    <row r="26" spans="1:9" x14ac:dyDescent="0.25">
      <c r="A26" s="37">
        <v>15</v>
      </c>
      <c r="B26" s="527" t="s">
        <v>1443</v>
      </c>
      <c r="C26" s="6" t="s">
        <v>856</v>
      </c>
      <c r="D26" s="216">
        <v>2016</v>
      </c>
      <c r="E26" s="16">
        <f>IF(OR($B26="",,$D26&lt;an_initial,$D26&gt;an_final),"",G26*(HLOOKUP(C26,iii5punctaje,2,FALSE)))</f>
        <v>10</v>
      </c>
      <c r="F26" s="37"/>
      <c r="G26" s="58">
        <f>IF(OR($B26="",,$D26="",$D26&gt;an_final),"",IF($D26&gt;=an_initial,1,""))</f>
        <v>1</v>
      </c>
      <c r="H26" s="349" t="b">
        <f>IF(nume_candidat="",FALSE,ISNUMBER(SEARCH(nume_candidat,$B26)))</f>
        <v>0</v>
      </c>
      <c r="I26" s="350">
        <f>LEN(B26)-LEN(SUBSTITUTE(B26,",",""))+1</f>
        <v>1</v>
      </c>
    </row>
    <row r="27" spans="1:9" x14ac:dyDescent="0.25">
      <c r="A27" s="37">
        <v>16</v>
      </c>
      <c r="B27" s="527" t="s">
        <v>859</v>
      </c>
      <c r="C27" s="6" t="s">
        <v>857</v>
      </c>
      <c r="D27" s="216">
        <v>2016</v>
      </c>
      <c r="E27" s="16">
        <f>IF(OR($B27="",,$D27&lt;an_initial,$D27&gt;an_final),"",G27*(HLOOKUP(C27,iii5punctaje,2,FALSE)))</f>
        <v>5</v>
      </c>
      <c r="F27" s="37"/>
      <c r="G27" s="58">
        <f>IF(OR($B27="",,$D27="",$D27&gt;an_final),"",IF($D27&gt;=an_initial,1,""))</f>
        <v>1</v>
      </c>
      <c r="H27" s="349" t="b">
        <f>IF(nume_candidat="",FALSE,ISNUMBER(SEARCH(nume_candidat,$B27)))</f>
        <v>0</v>
      </c>
      <c r="I27" s="350">
        <f>LEN(B27)-LEN(SUBSTITUTE(B27,",",""))+1</f>
        <v>1</v>
      </c>
    </row>
    <row r="28" spans="1:9" x14ac:dyDescent="0.25">
      <c r="A28" s="37">
        <v>17</v>
      </c>
      <c r="B28" s="527" t="s">
        <v>860</v>
      </c>
      <c r="C28" s="6" t="s">
        <v>856</v>
      </c>
      <c r="D28" s="216">
        <v>2017</v>
      </c>
      <c r="E28" s="16">
        <f>IF(OR($B28="",,$D28&lt;an_initial,$D28&gt;an_final),"",G28*(HLOOKUP(C28,iii5punctaje,2,FALSE)))</f>
        <v>10</v>
      </c>
      <c r="F28" s="37"/>
      <c r="G28" s="58">
        <f>IF(OR($B28="",,$D28="",$D28&gt;an_final),"",IF($D28&gt;=an_initial,1,""))</f>
        <v>1</v>
      </c>
      <c r="H28" s="349" t="b">
        <f>IF(nume_candidat="",FALSE,ISNUMBER(SEARCH(nume_candidat,$B28)))</f>
        <v>0</v>
      </c>
      <c r="I28" s="350">
        <f>LEN(B28)-LEN(SUBSTITUTE(B28,",",""))+1</f>
        <v>1</v>
      </c>
    </row>
    <row r="29" spans="1:9" ht="15.6" customHeight="1" x14ac:dyDescent="0.25">
      <c r="A29" s="37">
        <v>18</v>
      </c>
      <c r="B29" s="527" t="s">
        <v>1443</v>
      </c>
      <c r="C29" s="6" t="s">
        <v>856</v>
      </c>
      <c r="D29" s="216">
        <v>2017</v>
      </c>
      <c r="E29" s="16">
        <f>IF(OR($B29="",,$D29&lt;an_initial,$D29&gt;an_final),"",G29*(HLOOKUP(C29,iii5punctaje,2,FALSE)))</f>
        <v>10</v>
      </c>
      <c r="F29" s="37"/>
      <c r="G29" s="58">
        <f>IF(OR($B29="",,$D29="",$D29&gt;an_final),"",IF($D29&gt;=an_initial,1,""))</f>
        <v>1</v>
      </c>
      <c r="H29" s="349" t="b">
        <f>IF(nume_candidat="",FALSE,ISNUMBER(SEARCH(nume_candidat,$B29)))</f>
        <v>0</v>
      </c>
      <c r="I29" s="350">
        <f>LEN(B29)-LEN(SUBSTITUTE(B29,",",""))+1</f>
        <v>1</v>
      </c>
    </row>
    <row r="30" spans="1:9" x14ac:dyDescent="0.25">
      <c r="A30" s="37">
        <v>19</v>
      </c>
      <c r="B30" s="527" t="s">
        <v>859</v>
      </c>
      <c r="C30" s="6" t="s">
        <v>857</v>
      </c>
      <c r="D30" s="216">
        <v>2017</v>
      </c>
      <c r="E30" s="16">
        <f t="shared" si="0"/>
        <v>5</v>
      </c>
      <c r="F30" s="37"/>
      <c r="G30" s="58">
        <f t="shared" si="1"/>
        <v>1</v>
      </c>
      <c r="H30" s="349" t="b">
        <f t="shared" si="2"/>
        <v>0</v>
      </c>
      <c r="I30" s="350">
        <f t="shared" si="3"/>
        <v>1</v>
      </c>
    </row>
    <row r="31" spans="1:9" x14ac:dyDescent="0.25">
      <c r="A31" s="37">
        <v>20</v>
      </c>
      <c r="B31" s="527" t="s">
        <v>860</v>
      </c>
      <c r="C31" s="6" t="s">
        <v>856</v>
      </c>
      <c r="D31" s="216">
        <v>2018</v>
      </c>
      <c r="E31" s="16">
        <f t="shared" si="0"/>
        <v>10</v>
      </c>
      <c r="F31" s="37"/>
      <c r="G31" s="58">
        <f t="shared" si="1"/>
        <v>1</v>
      </c>
      <c r="H31" s="349" t="b">
        <f t="shared" si="2"/>
        <v>0</v>
      </c>
      <c r="I31" s="350">
        <f t="shared" si="3"/>
        <v>1</v>
      </c>
    </row>
    <row r="32" spans="1:9" x14ac:dyDescent="0.25">
      <c r="A32" s="37">
        <v>21</v>
      </c>
      <c r="B32" s="527" t="s">
        <v>1443</v>
      </c>
      <c r="C32" s="6" t="s">
        <v>856</v>
      </c>
      <c r="D32" s="528">
        <v>2018</v>
      </c>
      <c r="E32" s="16">
        <f t="shared" si="0"/>
        <v>10</v>
      </c>
      <c r="F32" s="37"/>
      <c r="G32" s="58">
        <f t="shared" si="1"/>
        <v>1</v>
      </c>
      <c r="H32" s="349" t="b">
        <f t="shared" si="2"/>
        <v>0</v>
      </c>
      <c r="I32" s="350">
        <f t="shared" si="3"/>
        <v>1</v>
      </c>
    </row>
    <row r="33" spans="1:9" x14ac:dyDescent="0.25">
      <c r="A33" s="37">
        <v>22</v>
      </c>
      <c r="B33" s="527" t="s">
        <v>859</v>
      </c>
      <c r="C33" s="6" t="s">
        <v>857</v>
      </c>
      <c r="D33" s="528">
        <v>2018</v>
      </c>
      <c r="E33" s="16">
        <f t="shared" si="0"/>
        <v>5</v>
      </c>
      <c r="F33" s="37"/>
      <c r="G33" s="58">
        <f t="shared" si="1"/>
        <v>1</v>
      </c>
      <c r="H33" s="349" t="b">
        <f t="shared" si="2"/>
        <v>0</v>
      </c>
      <c r="I33" s="350">
        <f t="shared" si="3"/>
        <v>1</v>
      </c>
    </row>
    <row r="34" spans="1:9" x14ac:dyDescent="0.25">
      <c r="A34" s="37">
        <v>23</v>
      </c>
      <c r="B34" s="527" t="s">
        <v>860</v>
      </c>
      <c r="C34" s="6" t="s">
        <v>856</v>
      </c>
      <c r="D34" s="216">
        <v>2019</v>
      </c>
      <c r="E34" s="16">
        <f t="shared" si="0"/>
        <v>10</v>
      </c>
      <c r="F34" s="37"/>
      <c r="G34" s="58">
        <f t="shared" si="1"/>
        <v>1</v>
      </c>
      <c r="H34" s="349" t="b">
        <f t="shared" si="2"/>
        <v>0</v>
      </c>
      <c r="I34" s="350">
        <f t="shared" si="3"/>
        <v>1</v>
      </c>
    </row>
    <row r="35" spans="1:9" x14ac:dyDescent="0.25">
      <c r="A35" s="37">
        <v>24</v>
      </c>
      <c r="B35" s="527" t="s">
        <v>1443</v>
      </c>
      <c r="C35" s="6" t="s">
        <v>856</v>
      </c>
      <c r="D35" s="528">
        <v>2019</v>
      </c>
      <c r="E35" s="16">
        <f t="shared" si="0"/>
        <v>10</v>
      </c>
      <c r="F35" s="37"/>
      <c r="G35" s="58">
        <f t="shared" si="1"/>
        <v>1</v>
      </c>
      <c r="H35" s="349" t="b">
        <f t="shared" si="2"/>
        <v>0</v>
      </c>
      <c r="I35" s="350">
        <f t="shared" si="3"/>
        <v>1</v>
      </c>
    </row>
    <row r="36" spans="1:9" x14ac:dyDescent="0.25">
      <c r="A36" s="37">
        <v>25</v>
      </c>
      <c r="B36" s="527" t="s">
        <v>859</v>
      </c>
      <c r="C36" s="6" t="s">
        <v>857</v>
      </c>
      <c r="D36" s="528">
        <v>2019</v>
      </c>
      <c r="E36" s="16">
        <f t="shared" si="0"/>
        <v>5</v>
      </c>
      <c r="F36" s="37"/>
      <c r="G36" s="58">
        <f t="shared" si="1"/>
        <v>1</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C31" sqref="C31"/>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x14ac:dyDescent="0.2">
      <c r="A3" s="346" t="str">
        <f>IF(ISBLANK(departament),"","Departamentul " &amp; departament)</f>
        <v>Departamentul Electronică Aplicată</v>
      </c>
      <c r="E3" s="61"/>
      <c r="F3" s="63"/>
      <c r="G3" s="62"/>
      <c r="H3" s="289"/>
      <c r="J3" s="63"/>
      <c r="K3" s="63"/>
      <c r="L3" s="63"/>
      <c r="M3" s="63"/>
    </row>
    <row r="4" spans="1:13" x14ac:dyDescent="0.25">
      <c r="A4" s="559" t="s">
        <v>836</v>
      </c>
      <c r="B4" s="559"/>
      <c r="C4" s="559"/>
      <c r="D4" s="559"/>
      <c r="E4" s="559"/>
      <c r="F4" s="559"/>
      <c r="G4" s="559"/>
      <c r="H4" s="559"/>
    </row>
    <row r="5" spans="1:13" x14ac:dyDescent="0.25">
      <c r="A5" s="559" t="s">
        <v>862</v>
      </c>
      <c r="B5" s="559"/>
      <c r="C5" s="559"/>
      <c r="D5" s="559"/>
      <c r="E5" s="559"/>
      <c r="F5" s="559"/>
      <c r="G5" s="226"/>
    </row>
    <row r="6" spans="1:13" ht="13.5" customHeight="1" x14ac:dyDescent="0.25">
      <c r="E6" s="64"/>
      <c r="F6" s="347" t="str">
        <f>CONCATENATE(functie," ",nume_candidat)</f>
        <v>Profesor Lascu Dan</v>
      </c>
      <c r="J6" s="347" t="str">
        <f>CONCATENATE(functie," ",nume_candidat)</f>
        <v>Profesor Lascu Dan</v>
      </c>
      <c r="K6" s="347" t="str">
        <f>CONCATENATE(functie," ",nume_candidat)</f>
        <v>Profesor Lascu Dan</v>
      </c>
      <c r="L6" s="347" t="str">
        <f>CONCATENATE(functie," ",nume_candidat)</f>
        <v>Profesor Lascu Dan</v>
      </c>
      <c r="M6" s="347" t="str">
        <f>CONCATENATE(functie," ",nume_candidat)</f>
        <v>Profesor Lascu Dan</v>
      </c>
    </row>
    <row r="7" spans="1:13" ht="18.75" customHeight="1" x14ac:dyDescent="0.25">
      <c r="A7" s="557" t="s">
        <v>338</v>
      </c>
      <c r="B7" s="557" t="s">
        <v>824</v>
      </c>
      <c r="C7" s="557" t="s">
        <v>863</v>
      </c>
      <c r="D7" s="557" t="s">
        <v>869</v>
      </c>
      <c r="E7" s="567" t="s">
        <v>2</v>
      </c>
      <c r="F7" s="557" t="s">
        <v>544</v>
      </c>
      <c r="G7" s="557" t="s">
        <v>4</v>
      </c>
      <c r="H7" s="578" t="s">
        <v>541</v>
      </c>
      <c r="I7" s="564" t="s">
        <v>551</v>
      </c>
      <c r="J7" s="557" t="s">
        <v>865</v>
      </c>
      <c r="K7" s="557" t="s">
        <v>866</v>
      </c>
      <c r="L7" s="557" t="s">
        <v>867</v>
      </c>
      <c r="M7" s="557" t="s">
        <v>868</v>
      </c>
    </row>
    <row r="8" spans="1:13" ht="18.75" customHeight="1" x14ac:dyDescent="0.25">
      <c r="A8" s="574"/>
      <c r="B8" s="574"/>
      <c r="C8" s="574"/>
      <c r="D8" s="574"/>
      <c r="E8" s="568"/>
      <c r="F8" s="574"/>
      <c r="G8" s="574"/>
      <c r="H8" s="579"/>
      <c r="I8" s="564"/>
      <c r="J8" s="574"/>
      <c r="K8" s="574"/>
      <c r="L8" s="574"/>
      <c r="M8" s="574"/>
    </row>
    <row r="9" spans="1:13" ht="18.75" customHeight="1" x14ac:dyDescent="0.25">
      <c r="A9" s="574"/>
      <c r="B9" s="574"/>
      <c r="C9" s="574"/>
      <c r="D9" s="574"/>
      <c r="E9" s="568"/>
      <c r="F9" s="558"/>
      <c r="G9" s="558"/>
      <c r="H9" s="579"/>
      <c r="I9" s="564"/>
      <c r="J9" s="558"/>
      <c r="K9" s="558"/>
      <c r="L9" s="558"/>
      <c r="M9" s="558"/>
    </row>
    <row r="10" spans="1:13" ht="18.75" customHeight="1" x14ac:dyDescent="0.25">
      <c r="A10" s="558"/>
      <c r="B10" s="558"/>
      <c r="C10" s="558"/>
      <c r="D10" s="558"/>
      <c r="E10" s="569"/>
      <c r="F10" s="348" t="str">
        <f>CONCATENATE("ultimii ",durata_evaluare," ani")</f>
        <v>ultimii 5 ani</v>
      </c>
      <c r="G10" s="348" t="str">
        <f>CONCATENATE("ultimii                                  ",durata_evaluare," ani")</f>
        <v>ultimii                                  5 ani</v>
      </c>
      <c r="H10" s="580"/>
      <c r="I10" s="564"/>
      <c r="J10" s="438" t="str">
        <f>CONCATENATE("ultimii ",durata_evaluare," ani")</f>
        <v>ultimii 5 ani</v>
      </c>
      <c r="K10" s="438" t="str">
        <f>CONCATENATE("ultimii ",durata_evaluare," ani")</f>
        <v>ultimii 5 ani</v>
      </c>
      <c r="L10" s="438" t="str">
        <f>CONCATENATE("ultimii ",durata_evaluare," ani")</f>
        <v>ultimii 5 ani</v>
      </c>
      <c r="M10" s="438" t="str">
        <f>CONCATENATE("ultimii ",durata_evaluare," ani")</f>
        <v>ultimii 5 ani</v>
      </c>
    </row>
    <row r="11" spans="1:13" x14ac:dyDescent="0.25">
      <c r="A11" s="88"/>
      <c r="B11" s="65"/>
      <c r="C11" s="65"/>
      <c r="D11" s="65"/>
      <c r="E11" s="30"/>
      <c r="F11" s="148">
        <f>SUMIF(F12:F1012,"&gt;0")</f>
        <v>20</v>
      </c>
      <c r="G11" s="4">
        <f>SUMIF(G12:G1110,"&gt;0")</f>
        <v>1</v>
      </c>
      <c r="H11" s="298"/>
      <c r="J11" s="148">
        <f>SUMIF(J12:J1110,"&gt;0")</f>
        <v>0</v>
      </c>
      <c r="K11" s="148">
        <f>SUMIF(K12:K1110,"&gt;0")</f>
        <v>0</v>
      </c>
      <c r="L11" s="148">
        <f>SUMIF(L12:L1110,"&gt;0")</f>
        <v>0</v>
      </c>
      <c r="M11" s="148">
        <f>SUMIF(M12:M1110,"&gt;0")</f>
        <v>20</v>
      </c>
    </row>
    <row r="12" spans="1:13" ht="31.5" x14ac:dyDescent="0.25">
      <c r="A12" s="37">
        <v>1</v>
      </c>
      <c r="B12" s="7" t="s">
        <v>1459</v>
      </c>
      <c r="C12" s="7" t="s">
        <v>1458</v>
      </c>
      <c r="D12" s="7" t="s">
        <v>868</v>
      </c>
      <c r="E12" s="220">
        <v>2017</v>
      </c>
      <c r="F12" s="16">
        <f t="shared" ref="F12:F75" si="0">IF(OR($B12="",,$E12&lt;an_initial,$E12&gt;an_final),"",G12*(HLOOKUP(D12,iii6punctaje,2,FALSE)))</f>
        <v>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20</v>
      </c>
    </row>
    <row r="13" spans="1:13" x14ac:dyDescent="0.25">
      <c r="A13" s="37">
        <v>2</v>
      </c>
      <c r="B13" s="7"/>
      <c r="C13" s="7"/>
      <c r="D13" s="7"/>
      <c r="E13" s="220"/>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25">
      <c r="A14" s="37">
        <v>3</v>
      </c>
      <c r="B14" s="7"/>
      <c r="C14" s="7"/>
      <c r="D14" s="7"/>
      <c r="E14" s="220"/>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25">
      <c r="A15" s="37">
        <v>4</v>
      </c>
      <c r="B15" s="380"/>
      <c r="C15" s="380"/>
      <c r="D15" s="380"/>
      <c r="E15" s="437"/>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23" sqref="C23"/>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Electronică și Telecomunicații</v>
      </c>
      <c r="D2" s="61"/>
      <c r="E2" s="63"/>
      <c r="F2" s="63"/>
      <c r="G2" s="63"/>
    </row>
    <row r="3" spans="1:7" s="60" customFormat="1" x14ac:dyDescent="0.2">
      <c r="A3" s="346" t="str">
        <f>IF(ISBLANK(departament),"","Departamentul " &amp; departament)</f>
        <v>Departamentul Electronică Aplicată</v>
      </c>
      <c r="D3" s="61"/>
      <c r="E3" s="63"/>
      <c r="F3" s="63"/>
      <c r="G3" s="63"/>
    </row>
    <row r="4" spans="1:7" x14ac:dyDescent="0.25">
      <c r="A4" s="559" t="s">
        <v>836</v>
      </c>
      <c r="B4" s="559"/>
      <c r="C4" s="559"/>
      <c r="D4" s="559"/>
      <c r="E4" s="559"/>
    </row>
    <row r="5" spans="1:7" x14ac:dyDescent="0.25">
      <c r="A5" s="559" t="s">
        <v>870</v>
      </c>
      <c r="B5" s="559"/>
      <c r="C5" s="559"/>
      <c r="D5" s="559"/>
      <c r="E5" s="559"/>
    </row>
    <row r="6" spans="1:7" ht="13.5" customHeight="1" x14ac:dyDescent="0.25">
      <c r="D6" s="64"/>
      <c r="E6" s="347" t="str">
        <f>CONCATENATE(functie," ",nume_candidat)</f>
        <v>Profesor Lascu Dan</v>
      </c>
      <c r="F6" s="347" t="str">
        <f>CONCATENATE(functie," ",nume_candidat)</f>
        <v>Profesor Lascu Dan</v>
      </c>
      <c r="G6" s="347" t="str">
        <f>CONCATENATE(functie," ",nume_candidat)</f>
        <v>Profesor Lascu Dan</v>
      </c>
    </row>
    <row r="7" spans="1:7" ht="18.75" customHeight="1" x14ac:dyDescent="0.25">
      <c r="A7" s="557" t="s">
        <v>338</v>
      </c>
      <c r="B7" s="557" t="s">
        <v>871</v>
      </c>
      <c r="C7" s="557" t="s">
        <v>1048</v>
      </c>
      <c r="D7" s="567" t="s">
        <v>2</v>
      </c>
      <c r="E7" s="557" t="s">
        <v>544</v>
      </c>
      <c r="F7" s="557" t="s">
        <v>865</v>
      </c>
      <c r="G7" s="557" t="s">
        <v>873</v>
      </c>
    </row>
    <row r="8" spans="1:7" ht="18.75" customHeight="1" x14ac:dyDescent="0.25">
      <c r="A8" s="574"/>
      <c r="B8" s="574"/>
      <c r="C8" s="574"/>
      <c r="D8" s="568"/>
      <c r="E8" s="574"/>
      <c r="F8" s="574"/>
      <c r="G8" s="574"/>
    </row>
    <row r="9" spans="1:7" ht="18.75" customHeight="1" x14ac:dyDescent="0.25">
      <c r="A9" s="574"/>
      <c r="B9" s="574"/>
      <c r="C9" s="574"/>
      <c r="D9" s="568"/>
      <c r="E9" s="558"/>
      <c r="F9" s="558"/>
      <c r="G9" s="558"/>
    </row>
    <row r="10" spans="1:7" ht="18.75" customHeight="1" x14ac:dyDescent="0.25">
      <c r="A10" s="558"/>
      <c r="B10" s="558"/>
      <c r="C10" s="558"/>
      <c r="D10" s="569"/>
      <c r="E10" s="348" t="str">
        <f>CONCATENATE("ultimii ",durata_evaluare," ani")</f>
        <v>ultimii 5 ani</v>
      </c>
      <c r="F10" s="438" t="str">
        <f>CONCATENATE("ultimii ",durata_evaluare," ani")</f>
        <v>ultimii 5 ani</v>
      </c>
      <c r="G10" s="438" t="str">
        <f>CONCATENATE("ultimii ",durata_evaluare," ani")</f>
        <v>ultimii 5 ani</v>
      </c>
    </row>
    <row r="11" spans="1:7" x14ac:dyDescent="0.25">
      <c r="A11" s="88"/>
      <c r="B11" s="65"/>
      <c r="C11" s="65"/>
      <c r="D11" s="30"/>
      <c r="E11" s="148">
        <f>SUMIF(E12:E1012,"&gt;0")</f>
        <v>0</v>
      </c>
      <c r="F11" s="148">
        <f>SUMIF(F12:F1110,"&gt;0")</f>
        <v>0</v>
      </c>
      <c r="G11" s="148">
        <f>SUMIF(G12:G1110,"&gt;0")</f>
        <v>0</v>
      </c>
    </row>
    <row r="12" spans="1:7" x14ac:dyDescent="0.25">
      <c r="A12" s="37">
        <v>1</v>
      </c>
      <c r="B12" s="7" t="s">
        <v>865</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25">
      <c r="A13" s="37">
        <v>2</v>
      </c>
      <c r="B13" s="7" t="s">
        <v>874</v>
      </c>
      <c r="C13" s="7"/>
      <c r="D13" s="220"/>
      <c r="E13" s="382" t="str">
        <f t="shared" si="0"/>
        <v/>
      </c>
      <c r="F13" s="382" t="str">
        <f t="shared" si="1"/>
        <v/>
      </c>
      <c r="G13" s="382" t="str">
        <f t="shared" si="2"/>
        <v/>
      </c>
    </row>
    <row r="14" spans="1:7" x14ac:dyDescent="0.25">
      <c r="A14" s="37">
        <v>3</v>
      </c>
      <c r="B14" s="7" t="s">
        <v>874</v>
      </c>
      <c r="C14" s="7"/>
      <c r="D14" s="220"/>
      <c r="E14" s="382" t="str">
        <f t="shared" si="0"/>
        <v/>
      </c>
      <c r="F14" s="382" t="str">
        <f t="shared" si="1"/>
        <v/>
      </c>
      <c r="G14" s="382" t="str">
        <f t="shared" si="2"/>
        <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R28" sqref="R28"/>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x14ac:dyDescent="0.2">
      <c r="A3" s="346" t="str">
        <f>IF(ISBLANK(departament),"","Departamentul " &amp; departament)</f>
        <v>Departamentul Electronică Aplicată</v>
      </c>
      <c r="E3" s="61"/>
      <c r="F3" s="63"/>
      <c r="G3" s="62"/>
      <c r="H3" s="289"/>
      <c r="J3" s="63"/>
      <c r="K3" s="63"/>
      <c r="L3" s="63"/>
      <c r="M3" s="63"/>
      <c r="N3" s="63"/>
      <c r="O3" s="63"/>
    </row>
    <row r="4" spans="1:15" x14ac:dyDescent="0.25">
      <c r="A4" s="559" t="s">
        <v>836</v>
      </c>
      <c r="B4" s="559"/>
      <c r="C4" s="559"/>
      <c r="D4" s="559"/>
      <c r="E4" s="559"/>
      <c r="F4" s="559"/>
      <c r="G4" s="290"/>
      <c r="H4" s="291"/>
    </row>
    <row r="5" spans="1:15" x14ac:dyDescent="0.25">
      <c r="A5" s="559" t="s">
        <v>875</v>
      </c>
      <c r="B5" s="559"/>
      <c r="C5" s="559"/>
      <c r="D5" s="559"/>
      <c r="E5" s="559"/>
      <c r="F5" s="559"/>
      <c r="G5" s="226"/>
    </row>
    <row r="6" spans="1:15" ht="13.5" customHeight="1" x14ac:dyDescent="0.25">
      <c r="E6" s="64"/>
      <c r="F6" s="347" t="str">
        <f>CONCATENATE(functie," ",nume_candidat)</f>
        <v>Profesor Lascu Dan</v>
      </c>
      <c r="J6" s="380" t="s">
        <v>785</v>
      </c>
      <c r="K6" s="380" t="s">
        <v>785</v>
      </c>
      <c r="L6" s="380" t="s">
        <v>785</v>
      </c>
      <c r="M6" s="380" t="s">
        <v>786</v>
      </c>
      <c r="N6" s="380" t="s">
        <v>786</v>
      </c>
      <c r="O6" s="380" t="s">
        <v>786</v>
      </c>
    </row>
    <row r="7" spans="1:15" ht="18.75" customHeight="1" x14ac:dyDescent="0.25">
      <c r="A7" s="557" t="s">
        <v>338</v>
      </c>
      <c r="B7" s="567" t="s">
        <v>877</v>
      </c>
      <c r="C7" s="567" t="s">
        <v>782</v>
      </c>
      <c r="D7" s="567" t="s">
        <v>843</v>
      </c>
      <c r="E7" s="567" t="s">
        <v>2</v>
      </c>
      <c r="F7" s="557" t="s">
        <v>544</v>
      </c>
      <c r="G7" s="557" t="s">
        <v>4</v>
      </c>
      <c r="H7" s="578" t="s">
        <v>541</v>
      </c>
      <c r="I7" s="564" t="s">
        <v>551</v>
      </c>
      <c r="J7" s="557" t="s">
        <v>754</v>
      </c>
      <c r="K7" s="557" t="s">
        <v>755</v>
      </c>
      <c r="L7" s="557" t="s">
        <v>756</v>
      </c>
      <c r="M7" s="557" t="s">
        <v>754</v>
      </c>
      <c r="N7" s="557" t="s">
        <v>755</v>
      </c>
      <c r="O7" s="557" t="s">
        <v>756</v>
      </c>
    </row>
    <row r="8" spans="1:15" ht="18.75" customHeight="1" x14ac:dyDescent="0.25">
      <c r="A8" s="574"/>
      <c r="B8" s="568"/>
      <c r="C8" s="568"/>
      <c r="D8" s="568"/>
      <c r="E8" s="568"/>
      <c r="F8" s="574"/>
      <c r="G8" s="574"/>
      <c r="H8" s="579"/>
      <c r="I8" s="564"/>
      <c r="J8" s="574"/>
      <c r="K8" s="574"/>
      <c r="L8" s="574"/>
      <c r="M8" s="574"/>
      <c r="N8" s="574"/>
      <c r="O8" s="574"/>
    </row>
    <row r="9" spans="1:15" ht="18.75" customHeight="1" x14ac:dyDescent="0.25">
      <c r="A9" s="574"/>
      <c r="B9" s="568"/>
      <c r="C9" s="568"/>
      <c r="D9" s="568"/>
      <c r="E9" s="568"/>
      <c r="F9" s="558"/>
      <c r="G9" s="558"/>
      <c r="H9" s="579"/>
      <c r="I9" s="564"/>
      <c r="J9" s="558"/>
      <c r="K9" s="558"/>
      <c r="L9" s="558"/>
      <c r="M9" s="558"/>
      <c r="N9" s="558"/>
      <c r="O9" s="558"/>
    </row>
    <row r="10" spans="1:15" ht="18.75" customHeight="1" x14ac:dyDescent="0.25">
      <c r="A10" s="558"/>
      <c r="B10" s="569"/>
      <c r="C10" s="569"/>
      <c r="D10" s="569"/>
      <c r="E10" s="569"/>
      <c r="F10" s="348" t="str">
        <f>CONCATENATE("ultimii ",durata_evaluare," ani")</f>
        <v>ultimii 5 ani</v>
      </c>
      <c r="G10" s="348" t="str">
        <f>CONCATENATE("ultimii                                  ",durata_evaluare," ani")</f>
        <v>ultimii                                  5 ani</v>
      </c>
      <c r="H10" s="580"/>
      <c r="I10" s="564"/>
      <c r="J10" s="438" t="str">
        <f t="shared" ref="J10:O10" si="0">CONCATENATE("ultimii ",durata_evaluare," ani")</f>
        <v>ultimii 5 ani</v>
      </c>
      <c r="K10" s="438" t="str">
        <f t="shared" si="0"/>
        <v>ultimii 5 ani</v>
      </c>
      <c r="L10" s="438" t="str">
        <f t="shared" si="0"/>
        <v>ultimii 5 ani</v>
      </c>
      <c r="M10" s="438" t="str">
        <f t="shared" si="0"/>
        <v>ultimii 5 ani</v>
      </c>
      <c r="N10" s="438" t="str">
        <f t="shared" si="0"/>
        <v>ultimii 5 ani</v>
      </c>
      <c r="O10" s="438" t="str">
        <f t="shared" si="0"/>
        <v>ultimii 5 ani</v>
      </c>
    </row>
    <row r="11" spans="1:15" x14ac:dyDescent="0.25">
      <c r="A11" s="88"/>
      <c r="B11" s="65"/>
      <c r="C11" s="65"/>
      <c r="D11" s="65"/>
      <c r="E11" s="30"/>
      <c r="F11" s="148">
        <f>SUMIF(F12:F1012,"&gt;0")</f>
        <v>135</v>
      </c>
      <c r="G11" s="4">
        <f>SUMIF(G12:G1110,"&gt;0")</f>
        <v>12</v>
      </c>
      <c r="H11" s="298"/>
      <c r="J11" s="148">
        <f t="shared" ref="J11:O11" si="1">SUMIF(J12:J1110,"&gt;0")</f>
        <v>100</v>
      </c>
      <c r="K11" s="148">
        <f t="shared" si="1"/>
        <v>25</v>
      </c>
      <c r="L11" s="148">
        <f t="shared" si="1"/>
        <v>0</v>
      </c>
      <c r="M11" s="148">
        <f t="shared" si="1"/>
        <v>0</v>
      </c>
      <c r="N11" s="148">
        <f t="shared" si="1"/>
        <v>10</v>
      </c>
      <c r="O11" s="148">
        <f t="shared" si="1"/>
        <v>0</v>
      </c>
    </row>
    <row r="12" spans="1:15" x14ac:dyDescent="0.25">
      <c r="A12" s="37">
        <v>1</v>
      </c>
      <c r="B12" s="530" t="s">
        <v>1444</v>
      </c>
      <c r="C12" s="7" t="s">
        <v>785</v>
      </c>
      <c r="D12" s="7" t="s">
        <v>754</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530" t="s">
        <v>1444</v>
      </c>
      <c r="C13" s="7" t="s">
        <v>785</v>
      </c>
      <c r="D13" s="7" t="s">
        <v>754</v>
      </c>
      <c r="E13" s="220">
        <v>2019</v>
      </c>
      <c r="F13" s="16">
        <f t="shared" si="2"/>
        <v>50</v>
      </c>
      <c r="G13" s="58">
        <f t="shared" si="3"/>
        <v>1</v>
      </c>
      <c r="H13" s="349" t="b">
        <f t="shared" si="4"/>
        <v>0</v>
      </c>
      <c r="I13" s="350">
        <f t="shared" si="5"/>
        <v>1</v>
      </c>
      <c r="J13" s="382">
        <f t="shared" si="6"/>
        <v>50</v>
      </c>
      <c r="K13" s="382">
        <f t="shared" si="7"/>
        <v>0</v>
      </c>
      <c r="L13" s="382">
        <f t="shared" si="8"/>
        <v>0</v>
      </c>
      <c r="M13" s="382">
        <f t="shared" si="9"/>
        <v>0</v>
      </c>
      <c r="N13" s="382">
        <f t="shared" si="10"/>
        <v>0</v>
      </c>
      <c r="O13" s="382">
        <f t="shared" si="11"/>
        <v>0</v>
      </c>
    </row>
    <row r="14" spans="1:15" x14ac:dyDescent="0.25">
      <c r="A14" s="37">
        <v>3</v>
      </c>
      <c r="B14" s="532" t="s">
        <v>1446</v>
      </c>
      <c r="C14" s="7" t="s">
        <v>785</v>
      </c>
      <c r="D14" s="7" t="s">
        <v>755</v>
      </c>
      <c r="E14" s="533">
        <v>2015</v>
      </c>
      <c r="F14" s="16">
        <f t="shared" si="2"/>
        <v>5</v>
      </c>
      <c r="G14" s="58">
        <f t="shared" si="3"/>
        <v>1</v>
      </c>
      <c r="H14" s="349" t="b">
        <f t="shared" si="4"/>
        <v>0</v>
      </c>
      <c r="I14" s="350">
        <f t="shared" si="5"/>
        <v>1</v>
      </c>
      <c r="J14" s="382">
        <f t="shared" si="6"/>
        <v>0</v>
      </c>
      <c r="K14" s="382">
        <f t="shared" si="7"/>
        <v>5</v>
      </c>
      <c r="L14" s="382">
        <f t="shared" si="8"/>
        <v>0</v>
      </c>
      <c r="M14" s="382">
        <f t="shared" si="9"/>
        <v>0</v>
      </c>
      <c r="N14" s="382">
        <f t="shared" si="10"/>
        <v>0</v>
      </c>
      <c r="O14" s="382">
        <f t="shared" si="11"/>
        <v>0</v>
      </c>
    </row>
    <row r="15" spans="1:15" x14ac:dyDescent="0.25">
      <c r="A15" s="37">
        <v>4</v>
      </c>
      <c r="B15" s="532" t="s">
        <v>1446</v>
      </c>
      <c r="C15" s="6" t="s">
        <v>785</v>
      </c>
      <c r="D15" s="6" t="s">
        <v>755</v>
      </c>
      <c r="E15" s="533">
        <v>2016</v>
      </c>
      <c r="F15" s="16">
        <f t="shared" si="2"/>
        <v>5</v>
      </c>
      <c r="G15" s="58">
        <f t="shared" si="3"/>
        <v>1</v>
      </c>
      <c r="H15" s="349" t="b">
        <f t="shared" si="4"/>
        <v>0</v>
      </c>
      <c r="I15" s="350">
        <f t="shared" si="5"/>
        <v>1</v>
      </c>
      <c r="J15" s="382">
        <f t="shared" si="6"/>
        <v>0</v>
      </c>
      <c r="K15" s="382">
        <f t="shared" si="7"/>
        <v>5</v>
      </c>
      <c r="L15" s="382">
        <f t="shared" si="8"/>
        <v>0</v>
      </c>
      <c r="M15" s="382">
        <f t="shared" si="9"/>
        <v>0</v>
      </c>
      <c r="N15" s="382">
        <f t="shared" si="10"/>
        <v>0</v>
      </c>
      <c r="O15" s="382">
        <f t="shared" si="11"/>
        <v>0</v>
      </c>
    </row>
    <row r="16" spans="1:15" x14ac:dyDescent="0.25">
      <c r="A16" s="37">
        <v>5</v>
      </c>
      <c r="B16" s="531" t="s">
        <v>1446</v>
      </c>
      <c r="C16" s="6" t="s">
        <v>785</v>
      </c>
      <c r="D16" s="6" t="s">
        <v>755</v>
      </c>
      <c r="E16" s="533">
        <v>2017</v>
      </c>
      <c r="F16" s="16">
        <f t="shared" si="2"/>
        <v>5</v>
      </c>
      <c r="G16" s="58">
        <f t="shared" si="3"/>
        <v>1</v>
      </c>
      <c r="H16" s="349" t="b">
        <f t="shared" si="4"/>
        <v>0</v>
      </c>
      <c r="I16" s="350">
        <f t="shared" si="5"/>
        <v>1</v>
      </c>
      <c r="J16" s="382">
        <f t="shared" si="6"/>
        <v>0</v>
      </c>
      <c r="K16" s="382">
        <f t="shared" si="7"/>
        <v>5</v>
      </c>
      <c r="L16" s="382">
        <f t="shared" si="8"/>
        <v>0</v>
      </c>
      <c r="M16" s="382">
        <f t="shared" si="9"/>
        <v>0</v>
      </c>
      <c r="N16" s="382">
        <f t="shared" si="10"/>
        <v>0</v>
      </c>
      <c r="O16" s="382">
        <f t="shared" si="11"/>
        <v>0</v>
      </c>
    </row>
    <row r="17" spans="1:15" x14ac:dyDescent="0.25">
      <c r="A17" s="37">
        <v>6</v>
      </c>
      <c r="B17" s="531" t="s">
        <v>1446</v>
      </c>
      <c r="C17" s="6" t="s">
        <v>785</v>
      </c>
      <c r="D17" s="6" t="s">
        <v>755</v>
      </c>
      <c r="E17" s="533">
        <v>2018</v>
      </c>
      <c r="F17" s="16">
        <f t="shared" si="2"/>
        <v>5</v>
      </c>
      <c r="G17" s="58">
        <f t="shared" si="3"/>
        <v>1</v>
      </c>
      <c r="H17" s="349" t="b">
        <f t="shared" si="4"/>
        <v>0</v>
      </c>
      <c r="I17" s="350">
        <f t="shared" si="5"/>
        <v>1</v>
      </c>
      <c r="J17" s="382">
        <f t="shared" si="6"/>
        <v>0</v>
      </c>
      <c r="K17" s="382">
        <f t="shared" si="7"/>
        <v>5</v>
      </c>
      <c r="L17" s="382">
        <f t="shared" si="8"/>
        <v>0</v>
      </c>
      <c r="M17" s="382">
        <f t="shared" si="9"/>
        <v>0</v>
      </c>
      <c r="N17" s="382">
        <f t="shared" si="10"/>
        <v>0</v>
      </c>
      <c r="O17" s="382">
        <f t="shared" si="11"/>
        <v>0</v>
      </c>
    </row>
    <row r="18" spans="1:15" x14ac:dyDescent="0.25">
      <c r="A18" s="37">
        <v>7</v>
      </c>
      <c r="B18" s="531" t="s">
        <v>1446</v>
      </c>
      <c r="C18" s="6" t="s">
        <v>785</v>
      </c>
      <c r="D18" s="6" t="s">
        <v>755</v>
      </c>
      <c r="E18" s="533">
        <v>2019</v>
      </c>
      <c r="F18" s="16">
        <f t="shared" si="2"/>
        <v>5</v>
      </c>
      <c r="G18" s="58">
        <f t="shared" si="3"/>
        <v>1</v>
      </c>
      <c r="H18" s="349" t="b">
        <f t="shared" si="4"/>
        <v>0</v>
      </c>
      <c r="I18" s="350">
        <f t="shared" si="5"/>
        <v>1</v>
      </c>
      <c r="J18" s="382">
        <f t="shared" si="6"/>
        <v>0</v>
      </c>
      <c r="K18" s="382">
        <f t="shared" si="7"/>
        <v>5</v>
      </c>
      <c r="L18" s="382">
        <f t="shared" si="8"/>
        <v>0</v>
      </c>
      <c r="M18" s="382">
        <f t="shared" si="9"/>
        <v>0</v>
      </c>
      <c r="N18" s="382">
        <f t="shared" si="10"/>
        <v>0</v>
      </c>
      <c r="O18" s="382">
        <f t="shared" si="11"/>
        <v>0</v>
      </c>
    </row>
    <row r="19" spans="1:15" x14ac:dyDescent="0.25">
      <c r="A19" s="37">
        <v>8</v>
      </c>
      <c r="B19" s="531" t="s">
        <v>1445</v>
      </c>
      <c r="C19" s="6" t="s">
        <v>786</v>
      </c>
      <c r="D19" s="6" t="s">
        <v>755</v>
      </c>
      <c r="E19" s="216">
        <v>2015</v>
      </c>
      <c r="F19" s="16">
        <f t="shared" si="2"/>
        <v>2</v>
      </c>
      <c r="G19" s="58">
        <f t="shared" si="3"/>
        <v>1</v>
      </c>
      <c r="H19" s="349" t="b">
        <f t="shared" si="4"/>
        <v>0</v>
      </c>
      <c r="I19" s="350">
        <f t="shared" si="5"/>
        <v>1</v>
      </c>
      <c r="J19" s="382">
        <f t="shared" si="6"/>
        <v>0</v>
      </c>
      <c r="K19" s="382">
        <f t="shared" si="7"/>
        <v>0</v>
      </c>
      <c r="L19" s="382">
        <f t="shared" si="8"/>
        <v>0</v>
      </c>
      <c r="M19" s="382">
        <f t="shared" si="9"/>
        <v>0</v>
      </c>
      <c r="N19" s="382">
        <f t="shared" si="10"/>
        <v>2</v>
      </c>
      <c r="O19" s="382">
        <f t="shared" si="11"/>
        <v>0</v>
      </c>
    </row>
    <row r="20" spans="1:15" x14ac:dyDescent="0.25">
      <c r="A20" s="37">
        <v>9</v>
      </c>
      <c r="B20" s="531" t="s">
        <v>1445</v>
      </c>
      <c r="C20" s="6" t="s">
        <v>786</v>
      </c>
      <c r="D20" s="6" t="s">
        <v>755</v>
      </c>
      <c r="E20" s="216">
        <v>2016</v>
      </c>
      <c r="F20" s="16">
        <f t="shared" si="2"/>
        <v>2</v>
      </c>
      <c r="G20" s="58">
        <f t="shared" si="3"/>
        <v>1</v>
      </c>
      <c r="H20" s="349" t="b">
        <f t="shared" si="4"/>
        <v>0</v>
      </c>
      <c r="I20" s="350">
        <f t="shared" si="5"/>
        <v>1</v>
      </c>
      <c r="J20" s="382">
        <f t="shared" si="6"/>
        <v>0</v>
      </c>
      <c r="K20" s="382">
        <f t="shared" si="7"/>
        <v>0</v>
      </c>
      <c r="L20" s="382">
        <f t="shared" si="8"/>
        <v>0</v>
      </c>
      <c r="M20" s="382">
        <f t="shared" si="9"/>
        <v>0</v>
      </c>
      <c r="N20" s="382">
        <f t="shared" si="10"/>
        <v>2</v>
      </c>
      <c r="O20" s="382">
        <f t="shared" si="11"/>
        <v>0</v>
      </c>
    </row>
    <row r="21" spans="1:15" x14ac:dyDescent="0.25">
      <c r="A21" s="37">
        <v>10</v>
      </c>
      <c r="B21" s="531" t="s">
        <v>1445</v>
      </c>
      <c r="C21" s="6" t="s">
        <v>786</v>
      </c>
      <c r="D21" s="6" t="s">
        <v>755</v>
      </c>
      <c r="E21" s="216">
        <v>2017</v>
      </c>
      <c r="F21" s="16">
        <f t="shared" si="2"/>
        <v>2</v>
      </c>
      <c r="G21" s="58">
        <f t="shared" si="3"/>
        <v>1</v>
      </c>
      <c r="H21" s="349" t="b">
        <f t="shared" si="4"/>
        <v>0</v>
      </c>
      <c r="I21" s="350">
        <f t="shared" si="5"/>
        <v>1</v>
      </c>
      <c r="J21" s="382">
        <f t="shared" si="6"/>
        <v>0</v>
      </c>
      <c r="K21" s="382">
        <f t="shared" si="7"/>
        <v>0</v>
      </c>
      <c r="L21" s="382">
        <f t="shared" si="8"/>
        <v>0</v>
      </c>
      <c r="M21" s="382">
        <f t="shared" si="9"/>
        <v>0</v>
      </c>
      <c r="N21" s="382">
        <f t="shared" si="10"/>
        <v>2</v>
      </c>
      <c r="O21" s="382">
        <f t="shared" si="11"/>
        <v>0</v>
      </c>
    </row>
    <row r="22" spans="1:15" x14ac:dyDescent="0.25">
      <c r="A22" s="37">
        <v>11</v>
      </c>
      <c r="B22" s="531" t="s">
        <v>1445</v>
      </c>
      <c r="C22" s="6" t="s">
        <v>786</v>
      </c>
      <c r="D22" s="6" t="s">
        <v>755</v>
      </c>
      <c r="E22" s="216">
        <v>2018</v>
      </c>
      <c r="F22" s="16">
        <f t="shared" si="2"/>
        <v>2</v>
      </c>
      <c r="G22" s="58">
        <f t="shared" si="3"/>
        <v>1</v>
      </c>
      <c r="H22" s="349" t="b">
        <f t="shared" si="4"/>
        <v>0</v>
      </c>
      <c r="I22" s="350">
        <f t="shared" si="5"/>
        <v>1</v>
      </c>
      <c r="J22" s="382">
        <f t="shared" si="6"/>
        <v>0</v>
      </c>
      <c r="K22" s="382">
        <f t="shared" si="7"/>
        <v>0</v>
      </c>
      <c r="L22" s="382">
        <f t="shared" si="8"/>
        <v>0</v>
      </c>
      <c r="M22" s="382">
        <f t="shared" si="9"/>
        <v>0</v>
      </c>
      <c r="N22" s="382">
        <f t="shared" si="10"/>
        <v>2</v>
      </c>
      <c r="O22" s="382">
        <f t="shared" si="11"/>
        <v>0</v>
      </c>
    </row>
    <row r="23" spans="1:15" x14ac:dyDescent="0.25">
      <c r="A23" s="37">
        <v>12</v>
      </c>
      <c r="B23" s="531" t="s">
        <v>1445</v>
      </c>
      <c r="C23" s="6" t="s">
        <v>786</v>
      </c>
      <c r="D23" s="6" t="s">
        <v>755</v>
      </c>
      <c r="E23" s="216">
        <v>2019</v>
      </c>
      <c r="F23" s="16">
        <f t="shared" si="2"/>
        <v>2</v>
      </c>
      <c r="G23" s="58">
        <f t="shared" si="3"/>
        <v>1</v>
      </c>
      <c r="H23" s="349" t="b">
        <f t="shared" si="4"/>
        <v>0</v>
      </c>
      <c r="I23" s="350">
        <f t="shared" si="5"/>
        <v>1</v>
      </c>
      <c r="J23" s="382">
        <f t="shared" si="6"/>
        <v>0</v>
      </c>
      <c r="K23" s="382">
        <f t="shared" si="7"/>
        <v>0</v>
      </c>
      <c r="L23" s="382">
        <f t="shared" si="8"/>
        <v>0</v>
      </c>
      <c r="M23" s="382">
        <f t="shared" si="9"/>
        <v>0</v>
      </c>
      <c r="N23" s="382">
        <f t="shared" si="10"/>
        <v>2</v>
      </c>
      <c r="O23" s="382">
        <f t="shared" si="11"/>
        <v>0</v>
      </c>
    </row>
    <row r="24" spans="1:15" x14ac:dyDescent="0.25">
      <c r="A24" s="37">
        <v>13</v>
      </c>
      <c r="B24" s="530"/>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28" sqref="C28"/>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Electronică și Telecomunicații</v>
      </c>
      <c r="D2" s="61"/>
      <c r="E2" s="63"/>
      <c r="F2" s="62"/>
      <c r="G2" s="289"/>
      <c r="I2" s="63"/>
      <c r="J2" s="63"/>
    </row>
    <row r="3" spans="1:10" s="60" customFormat="1" x14ac:dyDescent="0.2">
      <c r="A3" s="346" t="str">
        <f>IF(ISBLANK(departament),"","Departamentul " &amp; departament)</f>
        <v>Departamentul Electronică Aplicată</v>
      </c>
      <c r="D3" s="61"/>
      <c r="E3" s="63"/>
      <c r="F3" s="62"/>
      <c r="G3" s="289"/>
      <c r="I3" s="63"/>
      <c r="J3" s="63"/>
    </row>
    <row r="4" spans="1:10" x14ac:dyDescent="0.25">
      <c r="A4" s="559" t="s">
        <v>836</v>
      </c>
      <c r="B4" s="559"/>
      <c r="C4" s="559"/>
      <c r="D4" s="559"/>
      <c r="E4" s="559"/>
      <c r="F4" s="559"/>
      <c r="G4" s="559"/>
    </row>
    <row r="5" spans="1:10" x14ac:dyDescent="0.25">
      <c r="A5" s="559" t="s">
        <v>1079</v>
      </c>
      <c r="B5" s="559"/>
      <c r="C5" s="559"/>
      <c r="D5" s="559"/>
      <c r="E5" s="559"/>
      <c r="F5" s="226"/>
    </row>
    <row r="6" spans="1:10" ht="13.5" customHeight="1" x14ac:dyDescent="0.25">
      <c r="D6" s="64"/>
      <c r="E6" s="347" t="str">
        <f>CONCATENATE(functie," ",nume_candidat)</f>
        <v>Profesor Lascu Dan</v>
      </c>
      <c r="I6" s="347"/>
      <c r="J6" s="347"/>
    </row>
    <row r="7" spans="1:10" ht="18.75" customHeight="1" x14ac:dyDescent="0.25">
      <c r="A7" s="557" t="s">
        <v>338</v>
      </c>
      <c r="B7" s="557" t="s">
        <v>878</v>
      </c>
      <c r="C7" s="557" t="s">
        <v>843</v>
      </c>
      <c r="D7" s="567" t="s">
        <v>2</v>
      </c>
      <c r="E7" s="557" t="s">
        <v>544</v>
      </c>
      <c r="F7" s="557" t="s">
        <v>4</v>
      </c>
      <c r="G7" s="578" t="s">
        <v>541</v>
      </c>
      <c r="H7" s="564" t="s">
        <v>551</v>
      </c>
      <c r="I7" s="557" t="s">
        <v>880</v>
      </c>
      <c r="J7" s="557" t="s">
        <v>462</v>
      </c>
    </row>
    <row r="8" spans="1:10" ht="18.75" customHeight="1" x14ac:dyDescent="0.25">
      <c r="A8" s="574"/>
      <c r="B8" s="574"/>
      <c r="C8" s="574"/>
      <c r="D8" s="568"/>
      <c r="E8" s="574"/>
      <c r="F8" s="574"/>
      <c r="G8" s="579"/>
      <c r="H8" s="564"/>
      <c r="I8" s="574"/>
      <c r="J8" s="574"/>
    </row>
    <row r="9" spans="1:10" ht="18.75" customHeight="1" x14ac:dyDescent="0.25">
      <c r="A9" s="574"/>
      <c r="B9" s="574"/>
      <c r="C9" s="574"/>
      <c r="D9" s="568"/>
      <c r="E9" s="558"/>
      <c r="F9" s="558"/>
      <c r="G9" s="579"/>
      <c r="H9" s="564"/>
      <c r="I9" s="558"/>
      <c r="J9" s="558"/>
    </row>
    <row r="10" spans="1:10" ht="18.75" customHeight="1" x14ac:dyDescent="0.25">
      <c r="A10" s="558"/>
      <c r="B10" s="558"/>
      <c r="C10" s="558"/>
      <c r="D10" s="569"/>
      <c r="E10" s="348" t="str">
        <f>CONCATENATE("ultimii ",durata_evaluare," ani")</f>
        <v>ultimii 5 ani</v>
      </c>
      <c r="F10" s="348" t="str">
        <f>CONCATENATE("ultimii                                  ",durata_evaluare," ani")</f>
        <v>ultimii                                  5 ani</v>
      </c>
      <c r="G10" s="580"/>
      <c r="H10" s="564"/>
      <c r="I10" s="438" t="str">
        <f>CONCATENATE("ultimii ",durata_evaluare," ani")</f>
        <v>ultimii 5 ani</v>
      </c>
      <c r="J10" s="438" t="str">
        <f>CONCATENATE("ultimii ",durata_evaluare," ani")</f>
        <v>ultimii 5 ani</v>
      </c>
    </row>
    <row r="11" spans="1:10" x14ac:dyDescent="0.25">
      <c r="A11" s="88"/>
      <c r="B11" s="65"/>
      <c r="C11" s="65"/>
      <c r="D11" s="30"/>
      <c r="E11" s="148">
        <f>SUMIF(E12:E1012,"&gt;0")</f>
        <v>0</v>
      </c>
      <c r="F11" s="4">
        <f>SUMIF(F12:F1110,"&gt;0")</f>
        <v>0</v>
      </c>
      <c r="G11" s="298"/>
      <c r="I11" s="148">
        <f>SUMIF(I12:I1110,"&gt;0")</f>
        <v>0</v>
      </c>
      <c r="J11" s="148">
        <f>SUMIF(J12:J1110,"&gt;0")</f>
        <v>0</v>
      </c>
    </row>
    <row r="12" spans="1:10" x14ac:dyDescent="0.25">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25">
      <c r="A13" s="37">
        <v>2</v>
      </c>
      <c r="B13" s="7"/>
      <c r="C13" s="7"/>
      <c r="D13" s="220"/>
      <c r="E13" s="16" t="str">
        <f t="shared" si="0"/>
        <v/>
      </c>
      <c r="F13" s="58" t="str">
        <f t="shared" si="1"/>
        <v/>
      </c>
      <c r="G13" s="349" t="b">
        <f t="shared" si="2"/>
        <v>0</v>
      </c>
      <c r="H13" s="350">
        <f t="shared" si="3"/>
        <v>1</v>
      </c>
      <c r="I13" s="382" t="str">
        <f t="shared" si="4"/>
        <v/>
      </c>
      <c r="J13" s="382" t="str">
        <f t="shared" si="5"/>
        <v/>
      </c>
    </row>
    <row r="14" spans="1:10" x14ac:dyDescent="0.25">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L17" sqref="L1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Electronică Aplicată</v>
      </c>
      <c r="C3" s="61"/>
      <c r="D3" s="63"/>
      <c r="E3" s="62"/>
      <c r="F3" s="289"/>
    </row>
    <row r="4" spans="1:7" x14ac:dyDescent="0.25">
      <c r="A4" s="559" t="s">
        <v>836</v>
      </c>
      <c r="B4" s="559"/>
      <c r="C4" s="559"/>
      <c r="D4" s="559"/>
      <c r="E4" s="559"/>
      <c r="F4" s="559"/>
    </row>
    <row r="5" spans="1:7" x14ac:dyDescent="0.25">
      <c r="A5" s="559" t="s">
        <v>881</v>
      </c>
      <c r="B5" s="559"/>
      <c r="C5" s="559"/>
      <c r="D5" s="559"/>
      <c r="E5" s="226"/>
    </row>
    <row r="6" spans="1:7" ht="13.5" customHeight="1" x14ac:dyDescent="0.25">
      <c r="C6" s="64"/>
      <c r="D6" s="299" t="str">
        <f>CONCATENATE(functie," ",nume_candidat)</f>
        <v>Profesor Lascu Dan</v>
      </c>
    </row>
    <row r="7" spans="1:7" ht="18.75" customHeight="1" x14ac:dyDescent="0.25">
      <c r="A7" s="557" t="s">
        <v>338</v>
      </c>
      <c r="B7" s="557" t="s">
        <v>882</v>
      </c>
      <c r="C7" s="567" t="s">
        <v>2</v>
      </c>
      <c r="D7" s="557" t="s">
        <v>544</v>
      </c>
      <c r="E7" s="557" t="s">
        <v>4</v>
      </c>
      <c r="F7" s="578" t="s">
        <v>541</v>
      </c>
      <c r="G7" s="564" t="s">
        <v>551</v>
      </c>
    </row>
    <row r="8" spans="1:7" ht="18.75" customHeight="1" x14ac:dyDescent="0.25">
      <c r="A8" s="574"/>
      <c r="B8" s="574"/>
      <c r="C8" s="568"/>
      <c r="D8" s="574"/>
      <c r="E8" s="574"/>
      <c r="F8" s="579"/>
      <c r="G8" s="564"/>
    </row>
    <row r="9" spans="1:7" ht="18.75" customHeight="1" x14ac:dyDescent="0.25">
      <c r="A9" s="574"/>
      <c r="B9" s="574"/>
      <c r="C9" s="568"/>
      <c r="D9" s="558"/>
      <c r="E9" s="558"/>
      <c r="F9" s="579"/>
      <c r="G9" s="564"/>
    </row>
    <row r="10" spans="1:7" ht="18.75" customHeight="1" x14ac:dyDescent="0.25">
      <c r="A10" s="558"/>
      <c r="B10" s="558"/>
      <c r="C10" s="569"/>
      <c r="D10" s="300" t="str">
        <f>CONCATENATE("ultimii ",durata_evaluare," ani")</f>
        <v>ultimii 5 ani</v>
      </c>
      <c r="E10" s="300" t="str">
        <f>CONCATENATE("ultimii                                  ",durata_evaluare," ani")</f>
        <v>ultimii                                  5 ani</v>
      </c>
      <c r="F10" s="580"/>
      <c r="G10" s="564"/>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26" sqref="B26"/>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Electronică Aplicată</v>
      </c>
      <c r="C3" s="61"/>
      <c r="D3" s="63"/>
      <c r="E3" s="62"/>
      <c r="F3" s="289"/>
    </row>
    <row r="4" spans="1:7" x14ac:dyDescent="0.25">
      <c r="A4" s="559" t="s">
        <v>836</v>
      </c>
      <c r="B4" s="559"/>
      <c r="C4" s="559"/>
      <c r="D4" s="559"/>
      <c r="E4" s="559"/>
      <c r="F4" s="559"/>
    </row>
    <row r="5" spans="1:7" x14ac:dyDescent="0.25">
      <c r="A5" s="559" t="s">
        <v>883</v>
      </c>
      <c r="B5" s="559"/>
      <c r="C5" s="559"/>
      <c r="D5" s="559"/>
      <c r="E5" s="226"/>
    </row>
    <row r="6" spans="1:7" ht="13.5" customHeight="1" x14ac:dyDescent="0.25">
      <c r="C6" s="64"/>
      <c r="D6" s="347" t="str">
        <f>CONCATENATE(functie," ",nume_candidat)</f>
        <v>Profesor Lascu Dan</v>
      </c>
    </row>
    <row r="7" spans="1:7" ht="18.75" customHeight="1" x14ac:dyDescent="0.25">
      <c r="A7" s="557" t="s">
        <v>338</v>
      </c>
      <c r="B7" s="557" t="s">
        <v>882</v>
      </c>
      <c r="C7" s="567" t="s">
        <v>2</v>
      </c>
      <c r="D7" s="557" t="s">
        <v>544</v>
      </c>
      <c r="E7" s="557" t="s">
        <v>4</v>
      </c>
      <c r="F7" s="578" t="s">
        <v>541</v>
      </c>
      <c r="G7" s="564" t="s">
        <v>551</v>
      </c>
    </row>
    <row r="8" spans="1:7" ht="18.75" customHeight="1" x14ac:dyDescent="0.25">
      <c r="A8" s="574"/>
      <c r="B8" s="574"/>
      <c r="C8" s="568"/>
      <c r="D8" s="574"/>
      <c r="E8" s="574"/>
      <c r="F8" s="579"/>
      <c r="G8" s="564"/>
    </row>
    <row r="9" spans="1:7" ht="18.75" customHeight="1" x14ac:dyDescent="0.25">
      <c r="A9" s="574"/>
      <c r="B9" s="574"/>
      <c r="C9" s="568"/>
      <c r="D9" s="558"/>
      <c r="E9" s="558"/>
      <c r="F9" s="579"/>
      <c r="G9" s="564"/>
    </row>
    <row r="10" spans="1:7" ht="18.75" customHeight="1" x14ac:dyDescent="0.25">
      <c r="A10" s="558"/>
      <c r="B10" s="558"/>
      <c r="C10" s="569"/>
      <c r="D10" s="348" t="str">
        <f>CONCATENATE("ultimii ",durata_evaluare," ani")</f>
        <v>ultimii 5 ani</v>
      </c>
      <c r="E10" s="348" t="str">
        <f>CONCATENATE("ultimii                                  ",durata_evaluare," ani")</f>
        <v>ultimii                                  5 ani</v>
      </c>
      <c r="F10" s="580"/>
      <c r="G10" s="564"/>
    </row>
    <row r="11" spans="1:7" x14ac:dyDescent="0.25">
      <c r="A11" s="88"/>
      <c r="B11" s="65"/>
      <c r="C11" s="30"/>
      <c r="D11" s="148">
        <f>SUMIF(D12:D1012,"&gt;0")</f>
        <v>0</v>
      </c>
      <c r="E11" s="4">
        <f>SUMIF(E12:E1110,"&gt;0")</f>
        <v>0</v>
      </c>
      <c r="F11" s="298"/>
    </row>
    <row r="12" spans="1:7" x14ac:dyDescent="0.25">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25">
      <c r="A13" s="37">
        <v>2</v>
      </c>
      <c r="B13" s="7"/>
      <c r="C13" s="220"/>
      <c r="D13" s="16" t="str">
        <f t="shared" si="0"/>
        <v/>
      </c>
      <c r="E13" s="58" t="str">
        <f t="shared" si="1"/>
        <v/>
      </c>
      <c r="F13" s="349" t="b">
        <f t="shared" si="2"/>
        <v>0</v>
      </c>
      <c r="G13" s="350">
        <f t="shared" si="3"/>
        <v>1</v>
      </c>
    </row>
    <row r="14" spans="1:7" x14ac:dyDescent="0.25">
      <c r="A14" s="37">
        <v>3</v>
      </c>
      <c r="B14" s="7"/>
      <c r="C14" s="220"/>
      <c r="D14" s="16" t="str">
        <f t="shared" si="0"/>
        <v/>
      </c>
      <c r="E14" s="58" t="str">
        <f t="shared" si="1"/>
        <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E20" sqref="E2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6" x14ac:dyDescent="0.3">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6" x14ac:dyDescent="0.3">
      <c r="A3" s="346" t="str">
        <f>IF(ISBLANK(departament),"","Departamentul " &amp; departament)</f>
        <v>Departamentul Electronică Aplicată</v>
      </c>
      <c r="B3" s="64"/>
      <c r="C3" s="64"/>
      <c r="D3" s="64"/>
      <c r="E3" s="71"/>
      <c r="F3" s="71"/>
      <c r="G3" s="64"/>
      <c r="H3" s="68"/>
      <c r="I3" s="69"/>
      <c r="J3" s="64"/>
      <c r="K3" s="68"/>
      <c r="L3" s="64"/>
      <c r="M3" s="289"/>
      <c r="N3" s="289"/>
    </row>
    <row r="4" spans="1:14" s="64" customFormat="1" ht="15.75" x14ac:dyDescent="0.25">
      <c r="A4" s="559" t="s">
        <v>784</v>
      </c>
      <c r="B4" s="559"/>
      <c r="C4" s="559"/>
      <c r="D4" s="559"/>
      <c r="E4" s="559"/>
      <c r="F4" s="559"/>
      <c r="G4" s="559"/>
      <c r="H4" s="559"/>
      <c r="I4" s="559"/>
      <c r="J4" s="559"/>
      <c r="K4" s="559"/>
      <c r="L4" s="559"/>
      <c r="M4" s="291"/>
    </row>
    <row r="5" spans="1:14" s="64" customFormat="1" ht="15.6" x14ac:dyDescent="0.3">
      <c r="A5" s="559" t="s">
        <v>1017</v>
      </c>
      <c r="B5" s="559"/>
      <c r="C5" s="559"/>
      <c r="D5" s="559"/>
      <c r="E5" s="559"/>
      <c r="F5" s="559"/>
      <c r="G5" s="559"/>
      <c r="H5" s="559"/>
      <c r="I5" s="559"/>
      <c r="J5" s="559"/>
      <c r="K5" s="559"/>
      <c r="L5" s="559"/>
      <c r="M5" s="71"/>
    </row>
    <row r="6" spans="1:14" s="60" customFormat="1" ht="13.5" customHeight="1" x14ac:dyDescent="0.2">
      <c r="E6" s="61"/>
      <c r="F6" s="61"/>
      <c r="H6" s="62"/>
      <c r="I6" s="63"/>
      <c r="K6" s="62"/>
      <c r="M6" s="289"/>
      <c r="N6" s="289"/>
    </row>
    <row r="7" spans="1:14" s="64" customFormat="1" ht="18.75" customHeight="1" x14ac:dyDescent="0.25">
      <c r="A7" s="556" t="s">
        <v>338</v>
      </c>
      <c r="B7" s="556" t="s">
        <v>41</v>
      </c>
      <c r="C7" s="557" t="s">
        <v>543</v>
      </c>
      <c r="D7" s="556" t="s">
        <v>42</v>
      </c>
      <c r="E7" s="560" t="s">
        <v>44</v>
      </c>
      <c r="F7" s="561"/>
      <c r="G7" s="556" t="s">
        <v>16</v>
      </c>
      <c r="H7" s="557" t="s">
        <v>17</v>
      </c>
      <c r="I7" s="562" t="s">
        <v>2</v>
      </c>
      <c r="J7" s="556" t="s">
        <v>47</v>
      </c>
      <c r="K7" s="557" t="s">
        <v>43</v>
      </c>
      <c r="L7" s="557" t="s">
        <v>544</v>
      </c>
      <c r="M7" s="557" t="s">
        <v>541</v>
      </c>
      <c r="N7" s="292"/>
    </row>
    <row r="8" spans="1:14" s="64" customFormat="1" ht="40.5" customHeight="1" x14ac:dyDescent="0.25">
      <c r="A8" s="556"/>
      <c r="B8" s="556"/>
      <c r="C8" s="558"/>
      <c r="D8" s="556"/>
      <c r="E8" s="213" t="s">
        <v>45</v>
      </c>
      <c r="F8" s="213" t="s">
        <v>46</v>
      </c>
      <c r="G8" s="556"/>
      <c r="H8" s="558"/>
      <c r="I8" s="562"/>
      <c r="J8" s="556"/>
      <c r="K8" s="558"/>
      <c r="L8" s="558"/>
      <c r="M8" s="558"/>
      <c r="N8" s="293"/>
    </row>
    <row r="9" spans="1:14" s="64" customFormat="1" ht="15.6" x14ac:dyDescent="0.3">
      <c r="A9" s="88"/>
      <c r="B9" s="65"/>
      <c r="C9" s="65"/>
      <c r="D9" s="65"/>
      <c r="E9" s="66"/>
      <c r="F9" s="66"/>
      <c r="G9" s="65"/>
      <c r="H9" s="66"/>
      <c r="I9" s="30"/>
      <c r="J9" s="66"/>
      <c r="K9" s="67"/>
      <c r="L9" s="378">
        <f>SUMIF(L10:L14,"&gt;0")</f>
        <v>0</v>
      </c>
      <c r="M9" s="294"/>
      <c r="N9" s="295"/>
    </row>
    <row r="10" spans="1:14" s="64" customFormat="1" ht="47.25" x14ac:dyDescent="0.25">
      <c r="A10" s="37">
        <v>1</v>
      </c>
      <c r="B10" s="7" t="s">
        <v>1235</v>
      </c>
      <c r="C10" s="7" t="s">
        <v>1236</v>
      </c>
      <c r="D10" s="7" t="s">
        <v>1237</v>
      </c>
      <c r="E10" s="5"/>
      <c r="F10" s="5"/>
      <c r="G10" s="7"/>
      <c r="H10" s="5"/>
      <c r="I10" s="215">
        <v>1998</v>
      </c>
      <c r="J10" s="215">
        <v>200</v>
      </c>
      <c r="K10" s="5" t="s">
        <v>1238</v>
      </c>
      <c r="L10" s="379" t="str">
        <f>IF(OR($B10="",$C10="",$D10="",$I10&lt;an_initial,$I10&gt;an_final,$K10="",$M10=FALSE),"",100)</f>
        <v/>
      </c>
      <c r="M10" s="58" t="b">
        <f>IF(nume_candidat="",FALSE,ISNUMBER(SEARCH(nume_candidat,$B10)))</f>
        <v>1</v>
      </c>
      <c r="N10" s="296"/>
    </row>
    <row r="11" spans="1:14" s="64" customFormat="1" ht="15.6" x14ac:dyDescent="0.3">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x14ac:dyDescent="0.3">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x14ac:dyDescent="0.3">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x14ac:dyDescent="0.3">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B28" sqref="B28"/>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Electronică și Telecomunicații</v>
      </c>
      <c r="C2" s="61"/>
      <c r="D2" s="63"/>
      <c r="E2" s="50"/>
      <c r="F2" s="62"/>
      <c r="G2"/>
    </row>
    <row r="3" spans="1:7" s="60" customFormat="1" x14ac:dyDescent="0.25">
      <c r="A3" s="151" t="str">
        <f>IF(ISBLANK(departament),"","Departamentul " &amp; departament)</f>
        <v>Departamentul Electronică Aplicată</v>
      </c>
      <c r="C3" s="61"/>
      <c r="D3" s="63"/>
      <c r="E3" s="50"/>
      <c r="F3" s="62"/>
      <c r="G3"/>
    </row>
    <row r="4" spans="1:7" x14ac:dyDescent="0.25">
      <c r="A4" s="559" t="s">
        <v>836</v>
      </c>
      <c r="B4" s="559"/>
      <c r="C4" s="559"/>
      <c r="D4" s="559"/>
      <c r="E4" s="559"/>
      <c r="F4" s="559"/>
    </row>
    <row r="5" spans="1:7" x14ac:dyDescent="0.25">
      <c r="A5" s="559" t="s">
        <v>884</v>
      </c>
      <c r="B5" s="559"/>
      <c r="C5" s="559"/>
      <c r="D5" s="559"/>
      <c r="E5" s="423"/>
      <c r="F5" s="226"/>
    </row>
    <row r="6" spans="1:7" ht="13.5" customHeight="1" x14ac:dyDescent="0.25">
      <c r="C6" s="64"/>
      <c r="D6" s="347" t="str">
        <f>CONCATENATE(functie," ",nume_candidat)</f>
        <v>Profesor Lascu Dan</v>
      </c>
      <c r="E6" s="347" t="str">
        <f>CONCATENATE(functie," ",nume_candidat)</f>
        <v>Profesor Lascu Dan</v>
      </c>
    </row>
    <row r="7" spans="1:7" ht="18.75" customHeight="1" x14ac:dyDescent="0.25">
      <c r="A7" s="557" t="s">
        <v>338</v>
      </c>
      <c r="B7" s="557" t="s">
        <v>892</v>
      </c>
      <c r="C7" s="567" t="s">
        <v>2</v>
      </c>
      <c r="D7" s="557" t="s">
        <v>544</v>
      </c>
      <c r="E7" s="567" t="s">
        <v>1102</v>
      </c>
      <c r="F7" s="557" t="s">
        <v>4</v>
      </c>
    </row>
    <row r="8" spans="1:7" ht="18.75" customHeight="1" x14ac:dyDescent="0.25">
      <c r="A8" s="574"/>
      <c r="B8" s="574"/>
      <c r="C8" s="568"/>
      <c r="D8" s="574"/>
      <c r="E8" s="568"/>
      <c r="F8" s="574"/>
    </row>
    <row r="9" spans="1:7" ht="18.75" customHeight="1" x14ac:dyDescent="0.25">
      <c r="A9" s="574"/>
      <c r="B9" s="574"/>
      <c r="C9" s="568"/>
      <c r="D9" s="558"/>
      <c r="E9" s="568"/>
      <c r="F9" s="558"/>
    </row>
    <row r="10" spans="1:7" ht="18.75" customHeight="1" x14ac:dyDescent="0.25">
      <c r="A10" s="558"/>
      <c r="B10" s="558"/>
      <c r="C10" s="569"/>
      <c r="D10" s="300" t="str">
        <f>CONCATENATE("ultimii ",durata_evaluare," ani")</f>
        <v>ultimii 5 ani</v>
      </c>
      <c r="E10" s="569"/>
      <c r="F10" s="300" t="str">
        <f>CONCATENATE("ultimii                                  ",durata_evaluare," ani")</f>
        <v>ultimii                                  5 ani</v>
      </c>
    </row>
    <row r="11" spans="1:7" x14ac:dyDescent="0.25">
      <c r="A11" s="88"/>
      <c r="B11" s="65"/>
      <c r="C11" s="30"/>
      <c r="D11" s="149">
        <f>SUMIF(D12:D1012,"&gt;0")</f>
        <v>120</v>
      </c>
      <c r="E11" s="435"/>
      <c r="F11" s="75">
        <f>SUMIF(F12:F1110,"&gt;0")</f>
        <v>4</v>
      </c>
    </row>
    <row r="12" spans="1:7" x14ac:dyDescent="0.25">
      <c r="A12" s="37">
        <v>1</v>
      </c>
      <c r="B12" s="7" t="s">
        <v>886</v>
      </c>
      <c r="C12" s="220">
        <v>2018</v>
      </c>
      <c r="D12" s="150">
        <f t="shared" ref="D12:D75" si="0">IF(OR(,$C12&lt;an_initial,$C12&gt;an_final),"",F12*(HLOOKUP(B12,iii12punctaje,2,FALSE)))</f>
        <v>10</v>
      </c>
      <c r="E12" s="37"/>
      <c r="F12" s="76">
        <f t="shared" ref="F12:F43" si="1">IF(OR(,,$C12="",$C12&gt;an_final),"",IF($C12&gt;=an_initial,1,""))</f>
        <v>1</v>
      </c>
    </row>
    <row r="13" spans="1:7" x14ac:dyDescent="0.25">
      <c r="A13" s="37">
        <v>2</v>
      </c>
      <c r="B13" s="7" t="s">
        <v>886</v>
      </c>
      <c r="C13" s="220">
        <v>2019</v>
      </c>
      <c r="D13" s="150">
        <f t="shared" si="0"/>
        <v>10</v>
      </c>
      <c r="E13" s="37"/>
      <c r="F13" s="76">
        <f t="shared" si="1"/>
        <v>1</v>
      </c>
    </row>
    <row r="14" spans="1:7" x14ac:dyDescent="0.25">
      <c r="A14" s="37">
        <v>3</v>
      </c>
      <c r="B14" s="7" t="s">
        <v>889</v>
      </c>
      <c r="C14" s="220">
        <v>2015</v>
      </c>
      <c r="D14" s="150">
        <f t="shared" si="0"/>
        <v>50</v>
      </c>
      <c r="E14" s="37"/>
      <c r="F14" s="76">
        <f t="shared" si="1"/>
        <v>1</v>
      </c>
    </row>
    <row r="15" spans="1:7" x14ac:dyDescent="0.25">
      <c r="A15" s="37">
        <v>4</v>
      </c>
      <c r="B15" s="6" t="s">
        <v>889</v>
      </c>
      <c r="C15" s="216">
        <v>2019</v>
      </c>
      <c r="D15" s="150">
        <f t="shared" si="0"/>
        <v>50</v>
      </c>
      <c r="E15" s="37"/>
      <c r="F15" s="76">
        <f t="shared" si="1"/>
        <v>1</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C22" sqref="C22"/>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Electronică și Telecomunicații</v>
      </c>
      <c r="B2" s="59"/>
      <c r="D2" s="61"/>
      <c r="E2" s="63"/>
      <c r="F2" s="62"/>
    </row>
    <row r="3" spans="1:6" s="60" customFormat="1" x14ac:dyDescent="0.2">
      <c r="A3" s="151" t="str">
        <f>IF(ISBLANK(departament),"","Departamentul " &amp; departament)</f>
        <v>Departamentul Electronică Aplicată</v>
      </c>
      <c r="B3" s="59"/>
      <c r="D3" s="61"/>
      <c r="E3" s="63"/>
      <c r="F3" s="62"/>
    </row>
    <row r="4" spans="1:6" x14ac:dyDescent="0.25">
      <c r="A4" s="559" t="s">
        <v>836</v>
      </c>
      <c r="B4" s="559"/>
      <c r="C4" s="559"/>
      <c r="D4" s="559"/>
      <c r="E4" s="559"/>
      <c r="F4" s="559"/>
    </row>
    <row r="5" spans="1:6" x14ac:dyDescent="0.25">
      <c r="A5" s="559" t="s">
        <v>893</v>
      </c>
      <c r="B5" s="559"/>
      <c r="C5" s="559"/>
      <c r="D5" s="559"/>
      <c r="E5" s="559"/>
      <c r="F5" s="226"/>
    </row>
    <row r="6" spans="1:6" ht="13.5" customHeight="1" x14ac:dyDescent="0.25">
      <c r="D6" s="64"/>
      <c r="E6" s="299" t="str">
        <f>CONCATENATE(functie," ",nume_candidat)</f>
        <v>Profesor Lascu Dan</v>
      </c>
    </row>
    <row r="7" spans="1:6" ht="18.75" customHeight="1" x14ac:dyDescent="0.25">
      <c r="A7" s="557" t="s">
        <v>338</v>
      </c>
      <c r="B7" s="557" t="s">
        <v>894</v>
      </c>
      <c r="C7" s="557" t="s">
        <v>899</v>
      </c>
      <c r="D7" s="567" t="s">
        <v>2</v>
      </c>
      <c r="E7" s="557" t="s">
        <v>544</v>
      </c>
      <c r="F7" s="557" t="s">
        <v>4</v>
      </c>
    </row>
    <row r="8" spans="1:6" ht="18.75" customHeight="1" x14ac:dyDescent="0.25">
      <c r="A8" s="574"/>
      <c r="B8" s="574"/>
      <c r="C8" s="574"/>
      <c r="D8" s="568"/>
      <c r="E8" s="574"/>
      <c r="F8" s="574"/>
    </row>
    <row r="9" spans="1:6" ht="18.75" customHeight="1" x14ac:dyDescent="0.25">
      <c r="A9" s="574"/>
      <c r="B9" s="574"/>
      <c r="C9" s="574"/>
      <c r="D9" s="568"/>
      <c r="E9" s="558"/>
      <c r="F9" s="558"/>
    </row>
    <row r="10" spans="1:6" ht="18.75" customHeight="1" x14ac:dyDescent="0.25">
      <c r="A10" s="558"/>
      <c r="B10" s="558"/>
      <c r="C10" s="558"/>
      <c r="D10" s="569"/>
      <c r="E10" s="300" t="str">
        <f>CONCATENATE("ultimii ",durata_evaluare," ani")</f>
        <v>ultimii 5 ani</v>
      </c>
      <c r="F10" s="300" t="str">
        <f>CONCATENATE("ultimii                                  ",durata_evaluare," ani")</f>
        <v>ultimii                                  5 ani</v>
      </c>
    </row>
    <row r="11" spans="1:6" x14ac:dyDescent="0.25">
      <c r="A11" s="88"/>
      <c r="B11" s="66"/>
      <c r="C11" s="65"/>
      <c r="D11" s="30"/>
      <c r="E11" s="149">
        <f>SUMIF(E12:E1012,"&gt;0")</f>
        <v>0</v>
      </c>
      <c r="F11" s="75">
        <f>SUMIF(F12:F1110,"&gt;0")</f>
        <v>0</v>
      </c>
    </row>
    <row r="12" spans="1:6" x14ac:dyDescent="0.25">
      <c r="A12" s="37">
        <v>1</v>
      </c>
      <c r="B12" s="163"/>
      <c r="C12" s="7"/>
      <c r="D12" s="220"/>
      <c r="E12" s="150" t="str">
        <f t="shared" ref="E12:E75" si="0">IF(OR(,$D12&lt;an_initial,$D12&gt;an_final),"",F12*(HLOOKUP(C12,iii13punctaje,2,FALSE)))</f>
        <v/>
      </c>
      <c r="F12" s="76" t="str">
        <f t="shared" ref="F12:F43" si="1">IF(OR(,,$D12="",$D12&gt;an_final),"",IF($D12&gt;=an_initial,1,""))</f>
        <v/>
      </c>
    </row>
    <row r="13" spans="1:6" x14ac:dyDescent="0.25">
      <c r="A13" s="37">
        <v>2</v>
      </c>
      <c r="B13" s="163"/>
      <c r="C13" s="7"/>
      <c r="D13" s="220"/>
      <c r="E13" s="150" t="str">
        <f t="shared" si="0"/>
        <v/>
      </c>
      <c r="F13" s="76" t="str">
        <f t="shared" si="1"/>
        <v/>
      </c>
    </row>
    <row r="14" spans="1:6" x14ac:dyDescent="0.25">
      <c r="A14" s="37">
        <v>3</v>
      </c>
      <c r="B14" s="163"/>
      <c r="C14" s="7"/>
      <c r="D14" s="220"/>
      <c r="E14" s="150" t="str">
        <f t="shared" si="0"/>
        <v/>
      </c>
      <c r="F14" s="76" t="str">
        <f t="shared" si="1"/>
        <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7" sqref="B1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Electronică și Telecomunicații</v>
      </c>
      <c r="C2" s="61"/>
      <c r="D2" s="63"/>
      <c r="E2" s="50"/>
      <c r="F2" s="62"/>
      <c r="G2" s="289"/>
      <c r="I2"/>
    </row>
    <row r="3" spans="1:9" s="60" customFormat="1" x14ac:dyDescent="0.25">
      <c r="A3" s="151" t="str">
        <f>IF(ISBLANK(departament),"","Departamentul " &amp; departament)</f>
        <v>Departamentul Electronică Aplicată</v>
      </c>
      <c r="C3" s="61"/>
      <c r="D3" s="63"/>
      <c r="E3" s="50"/>
      <c r="F3" s="62"/>
      <c r="G3" s="289"/>
      <c r="I3"/>
    </row>
    <row r="4" spans="1:9" x14ac:dyDescent="0.25">
      <c r="A4" s="559" t="s">
        <v>836</v>
      </c>
      <c r="B4" s="559"/>
      <c r="C4" s="559"/>
      <c r="D4" s="559"/>
      <c r="E4" s="559"/>
      <c r="F4" s="559"/>
      <c r="G4" s="559"/>
    </row>
    <row r="5" spans="1:9" ht="39.75" customHeight="1" x14ac:dyDescent="0.25">
      <c r="A5" s="565" t="s">
        <v>900</v>
      </c>
      <c r="B5" s="565"/>
      <c r="C5" s="565"/>
      <c r="D5" s="565"/>
      <c r="E5" s="423"/>
      <c r="F5" s="226"/>
    </row>
    <row r="6" spans="1:9" ht="13.5" customHeight="1" x14ac:dyDescent="0.25">
      <c r="C6" s="64"/>
      <c r="D6" s="347" t="str">
        <f>CONCATENATE(functie," ",nume_candidat)</f>
        <v>Profesor Lascu Dan</v>
      </c>
      <c r="E6" s="347" t="str">
        <f>CONCATENATE(functie," ",nume_candidat)</f>
        <v>Profesor Lascu Dan</v>
      </c>
    </row>
    <row r="7" spans="1:9" ht="18.75" customHeight="1" x14ac:dyDescent="0.25">
      <c r="A7" s="557" t="s">
        <v>338</v>
      </c>
      <c r="B7" s="557" t="s">
        <v>891</v>
      </c>
      <c r="C7" s="567" t="s">
        <v>2</v>
      </c>
      <c r="D7" s="557" t="s">
        <v>544</v>
      </c>
      <c r="E7" s="567" t="s">
        <v>1102</v>
      </c>
      <c r="F7" s="557" t="s">
        <v>4</v>
      </c>
      <c r="G7" s="578" t="s">
        <v>541</v>
      </c>
      <c r="H7" s="564" t="s">
        <v>551</v>
      </c>
    </row>
    <row r="8" spans="1:9" ht="18.75" customHeight="1" x14ac:dyDescent="0.25">
      <c r="A8" s="574"/>
      <c r="B8" s="574"/>
      <c r="C8" s="568"/>
      <c r="D8" s="574"/>
      <c r="E8" s="568"/>
      <c r="F8" s="574"/>
      <c r="G8" s="579"/>
      <c r="H8" s="564"/>
    </row>
    <row r="9" spans="1:9" ht="18.75" customHeight="1" x14ac:dyDescent="0.25">
      <c r="A9" s="574"/>
      <c r="B9" s="574"/>
      <c r="C9" s="568"/>
      <c r="D9" s="558"/>
      <c r="E9" s="568"/>
      <c r="F9" s="558"/>
      <c r="G9" s="579"/>
      <c r="H9" s="564"/>
    </row>
    <row r="10" spans="1:9" ht="18.75" customHeight="1" x14ac:dyDescent="0.25">
      <c r="A10" s="558"/>
      <c r="B10" s="558"/>
      <c r="C10" s="569"/>
      <c r="D10" s="300" t="str">
        <f>CONCATENATE("ultimii ",durata_evaluare," ani")</f>
        <v>ultimii 5 ani</v>
      </c>
      <c r="E10" s="569"/>
      <c r="F10" s="300" t="str">
        <f>CONCATENATE("ultimii                                  ",durata_evaluare," ani")</f>
        <v>ultimii                                  5 ani</v>
      </c>
      <c r="G10" s="580"/>
      <c r="H10" s="564"/>
    </row>
    <row r="11" spans="1:9" x14ac:dyDescent="0.25">
      <c r="A11" s="88"/>
      <c r="B11" s="65"/>
      <c r="C11" s="30"/>
      <c r="D11" s="149">
        <f>SUMIF(D12:D1012,"&gt;0")</f>
        <v>300</v>
      </c>
      <c r="E11" s="435"/>
      <c r="F11" s="75">
        <f>SUMIF(F12:F1110,"&gt;0")</f>
        <v>6</v>
      </c>
      <c r="G11" s="298"/>
    </row>
    <row r="12" spans="1:9" x14ac:dyDescent="0.25">
      <c r="A12" s="37">
        <v>1</v>
      </c>
      <c r="B12" s="7" t="s">
        <v>1447</v>
      </c>
      <c r="C12" s="220">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7" t="s">
        <v>1447</v>
      </c>
      <c r="C13" s="220">
        <v>2016</v>
      </c>
      <c r="D13" s="150">
        <f t="shared" si="0"/>
        <v>50</v>
      </c>
      <c r="E13" s="37"/>
      <c r="F13" s="76">
        <f t="shared" si="1"/>
        <v>1</v>
      </c>
      <c r="G13" s="72" t="b">
        <f t="shared" si="2"/>
        <v>0</v>
      </c>
      <c r="H13" s="73">
        <f t="shared" si="3"/>
        <v>1</v>
      </c>
    </row>
    <row r="14" spans="1:9" x14ac:dyDescent="0.25">
      <c r="A14" s="37">
        <v>3</v>
      </c>
      <c r="B14" s="7" t="s">
        <v>1447</v>
      </c>
      <c r="C14" s="220">
        <v>2017</v>
      </c>
      <c r="D14" s="150">
        <f t="shared" si="0"/>
        <v>50</v>
      </c>
      <c r="E14" s="37"/>
      <c r="F14" s="76">
        <f t="shared" si="1"/>
        <v>1</v>
      </c>
      <c r="G14" s="72" t="b">
        <f t="shared" si="2"/>
        <v>0</v>
      </c>
      <c r="H14" s="73">
        <f t="shared" si="3"/>
        <v>1</v>
      </c>
    </row>
    <row r="15" spans="1:9" x14ac:dyDescent="0.25">
      <c r="A15" s="37">
        <v>4</v>
      </c>
      <c r="B15" s="6" t="s">
        <v>1447</v>
      </c>
      <c r="C15" s="216">
        <v>2018</v>
      </c>
      <c r="D15" s="150">
        <f t="shared" si="0"/>
        <v>50</v>
      </c>
      <c r="E15" s="37"/>
      <c r="F15" s="76">
        <f t="shared" si="1"/>
        <v>1</v>
      </c>
      <c r="G15" s="72" t="b">
        <f t="shared" si="2"/>
        <v>0</v>
      </c>
      <c r="H15" s="73">
        <f t="shared" si="3"/>
        <v>1</v>
      </c>
    </row>
    <row r="16" spans="1:9" x14ac:dyDescent="0.25">
      <c r="A16" s="37">
        <v>5</v>
      </c>
      <c r="B16" s="6" t="s">
        <v>1447</v>
      </c>
      <c r="C16" s="216">
        <v>2019</v>
      </c>
      <c r="D16" s="150">
        <f t="shared" si="0"/>
        <v>50</v>
      </c>
      <c r="E16" s="37"/>
      <c r="F16" s="76">
        <f t="shared" si="1"/>
        <v>1</v>
      </c>
      <c r="G16" s="72" t="b">
        <f t="shared" si="2"/>
        <v>0</v>
      </c>
      <c r="H16" s="73">
        <f t="shared" si="3"/>
        <v>1</v>
      </c>
    </row>
    <row r="17" spans="1:8" x14ac:dyDescent="0.25">
      <c r="A17" s="37">
        <v>6</v>
      </c>
      <c r="B17" s="6" t="s">
        <v>1448</v>
      </c>
      <c r="C17" s="216">
        <v>2019</v>
      </c>
      <c r="D17" s="150">
        <f t="shared" si="0"/>
        <v>50</v>
      </c>
      <c r="E17" s="37"/>
      <c r="F17" s="76">
        <f t="shared" si="1"/>
        <v>1</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B32" sqref="B32"/>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Electronică și Telecomunicații</v>
      </c>
      <c r="D2" s="61"/>
      <c r="E2" s="63"/>
      <c r="F2" s="50"/>
      <c r="G2" s="62"/>
      <c r="H2" s="289"/>
      <c r="J2"/>
    </row>
    <row r="3" spans="1:10" s="60" customFormat="1" x14ac:dyDescent="0.25">
      <c r="A3" s="151" t="str">
        <f>IF(ISBLANK(departament),"","Departamentul " &amp; departament)</f>
        <v>Departamentul Electronică Aplicată</v>
      </c>
      <c r="D3" s="61"/>
      <c r="E3" s="63"/>
      <c r="F3" s="50"/>
      <c r="G3" s="62"/>
      <c r="H3" s="289"/>
      <c r="J3"/>
    </row>
    <row r="4" spans="1:10" x14ac:dyDescent="0.25">
      <c r="A4" s="559" t="s">
        <v>836</v>
      </c>
      <c r="B4" s="559"/>
      <c r="C4" s="559"/>
      <c r="D4" s="559"/>
      <c r="E4" s="559"/>
      <c r="F4" s="559"/>
      <c r="G4" s="559"/>
      <c r="H4" s="559"/>
    </row>
    <row r="5" spans="1:10" ht="51.75" customHeight="1" x14ac:dyDescent="0.25">
      <c r="A5" s="565" t="s">
        <v>902</v>
      </c>
      <c r="B5" s="565"/>
      <c r="C5" s="565"/>
      <c r="D5" s="565"/>
      <c r="E5" s="565"/>
      <c r="F5" s="423"/>
      <c r="G5" s="226"/>
    </row>
    <row r="6" spans="1:10" ht="13.5" customHeight="1" x14ac:dyDescent="0.25">
      <c r="D6" s="64"/>
      <c r="E6" s="347" t="str">
        <f>CONCATENATE(functie," ",nume_candidat)</f>
        <v>Profesor Lascu Dan</v>
      </c>
      <c r="F6" s="347" t="str">
        <f>CONCATENATE(functie," ",nume_candidat)</f>
        <v>Profesor Lascu Dan</v>
      </c>
    </row>
    <row r="7" spans="1:10" ht="18.75" customHeight="1" x14ac:dyDescent="0.25">
      <c r="A7" s="557" t="s">
        <v>338</v>
      </c>
      <c r="B7" s="557" t="s">
        <v>903</v>
      </c>
      <c r="C7" s="557" t="s">
        <v>901</v>
      </c>
      <c r="D7" s="567" t="s">
        <v>2</v>
      </c>
      <c r="E7" s="557" t="s">
        <v>544</v>
      </c>
      <c r="F7" s="567" t="s">
        <v>1102</v>
      </c>
      <c r="G7" s="557" t="s">
        <v>4</v>
      </c>
      <c r="H7" s="578" t="s">
        <v>541</v>
      </c>
      <c r="I7" s="564" t="s">
        <v>551</v>
      </c>
    </row>
    <row r="8" spans="1:10" ht="18.75" customHeight="1" x14ac:dyDescent="0.25">
      <c r="A8" s="574"/>
      <c r="B8" s="574"/>
      <c r="C8" s="574"/>
      <c r="D8" s="568"/>
      <c r="E8" s="574"/>
      <c r="F8" s="568"/>
      <c r="G8" s="574"/>
      <c r="H8" s="579"/>
      <c r="I8" s="564"/>
    </row>
    <row r="9" spans="1:10" ht="18.75" customHeight="1" x14ac:dyDescent="0.25">
      <c r="A9" s="574"/>
      <c r="B9" s="574"/>
      <c r="C9" s="574"/>
      <c r="D9" s="568"/>
      <c r="E9" s="558"/>
      <c r="F9" s="568"/>
      <c r="G9" s="558"/>
      <c r="H9" s="579"/>
      <c r="I9" s="564"/>
    </row>
    <row r="10" spans="1:10" ht="18.75" customHeight="1" x14ac:dyDescent="0.25">
      <c r="A10" s="558"/>
      <c r="B10" s="558"/>
      <c r="C10" s="558"/>
      <c r="D10" s="569"/>
      <c r="E10" s="300" t="str">
        <f>CONCATENATE("ultimii ",durata_evaluare," ani")</f>
        <v>ultimii 5 ani</v>
      </c>
      <c r="F10" s="569"/>
      <c r="G10" s="300" t="str">
        <f>CONCATENATE("ultimii                                  ",durata_evaluare," ani")</f>
        <v>ultimii                                  5 ani</v>
      </c>
      <c r="H10" s="580"/>
      <c r="I10" s="564"/>
    </row>
    <row r="11" spans="1:10" x14ac:dyDescent="0.25">
      <c r="A11" s="88"/>
      <c r="B11" s="65"/>
      <c r="C11" s="65"/>
      <c r="D11" s="30"/>
      <c r="E11" s="344">
        <f>SUMIF(E12:E1012,"&gt;0")</f>
        <v>100</v>
      </c>
      <c r="F11" s="435"/>
      <c r="G11" s="75">
        <f>SUMIF(G12:G1110,"&gt;0")</f>
        <v>1</v>
      </c>
      <c r="H11" s="298"/>
    </row>
    <row r="12" spans="1:10" x14ac:dyDescent="0.25">
      <c r="A12" s="37">
        <v>1</v>
      </c>
      <c r="B12" s="7" t="s">
        <v>1449</v>
      </c>
      <c r="C12" s="192">
        <v>10000</v>
      </c>
      <c r="D12" s="220">
        <v>2019</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c r="C13" s="192"/>
      <c r="D13" s="220"/>
      <c r="E13" s="345" t="str">
        <f t="shared" si="0"/>
        <v/>
      </c>
      <c r="F13" s="37"/>
      <c r="G13" s="76" t="str">
        <f t="shared" si="1"/>
        <v/>
      </c>
      <c r="H13" s="72" t="b">
        <f t="shared" si="2"/>
        <v>0</v>
      </c>
      <c r="I13" s="73">
        <f t="shared" si="3"/>
        <v>1</v>
      </c>
    </row>
    <row r="14" spans="1:10" x14ac:dyDescent="0.25">
      <c r="A14" s="37">
        <v>3</v>
      </c>
      <c r="B14" s="7"/>
      <c r="C14" s="192"/>
      <c r="D14" s="220"/>
      <c r="E14" s="345" t="str">
        <f t="shared" si="0"/>
        <v/>
      </c>
      <c r="F14" s="37"/>
      <c r="G14" s="76" t="str">
        <f t="shared" si="1"/>
        <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K27" sqref="K27"/>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Electronică Aplicată</v>
      </c>
      <c r="C3" s="61"/>
      <c r="D3" s="63"/>
      <c r="E3" s="62"/>
      <c r="F3" s="289"/>
    </row>
    <row r="4" spans="1:7" x14ac:dyDescent="0.25">
      <c r="A4" s="559" t="s">
        <v>836</v>
      </c>
      <c r="B4" s="559"/>
      <c r="C4" s="559"/>
      <c r="D4" s="559"/>
      <c r="E4" s="559"/>
      <c r="F4" s="559"/>
    </row>
    <row r="5" spans="1:7" ht="39.75" customHeight="1" x14ac:dyDescent="0.25">
      <c r="A5" s="565" t="s">
        <v>904</v>
      </c>
      <c r="B5" s="565"/>
      <c r="C5" s="565"/>
      <c r="D5" s="565"/>
      <c r="E5" s="565"/>
    </row>
    <row r="6" spans="1:7" ht="13.5" customHeight="1" x14ac:dyDescent="0.25">
      <c r="C6" s="64"/>
      <c r="D6" s="299" t="str">
        <f>CONCATENATE(functie," ",nume_candidat)</f>
        <v>Profesor Lascu Dan</v>
      </c>
    </row>
    <row r="7" spans="1:7" ht="18.75" customHeight="1" x14ac:dyDescent="0.25">
      <c r="A7" s="557" t="s">
        <v>338</v>
      </c>
      <c r="B7" s="557" t="s">
        <v>891</v>
      </c>
      <c r="C7" s="567" t="s">
        <v>2</v>
      </c>
      <c r="D7" s="557" t="s">
        <v>544</v>
      </c>
      <c r="E7" s="557" t="s">
        <v>4</v>
      </c>
      <c r="F7" s="578" t="s">
        <v>541</v>
      </c>
      <c r="G7" s="564" t="s">
        <v>551</v>
      </c>
    </row>
    <row r="8" spans="1:7" ht="18.75" customHeight="1" x14ac:dyDescent="0.25">
      <c r="A8" s="574"/>
      <c r="B8" s="574"/>
      <c r="C8" s="568"/>
      <c r="D8" s="574"/>
      <c r="E8" s="574"/>
      <c r="F8" s="579"/>
      <c r="G8" s="564"/>
    </row>
    <row r="9" spans="1:7" ht="18.75" customHeight="1" x14ac:dyDescent="0.25">
      <c r="A9" s="574"/>
      <c r="B9" s="574"/>
      <c r="C9" s="568"/>
      <c r="D9" s="558"/>
      <c r="E9" s="558"/>
      <c r="F9" s="579"/>
      <c r="G9" s="564"/>
    </row>
    <row r="10" spans="1:7" ht="18.75" customHeight="1" x14ac:dyDescent="0.25">
      <c r="A10" s="558"/>
      <c r="B10" s="558"/>
      <c r="C10" s="569"/>
      <c r="D10" s="300" t="str">
        <f>CONCATENATE("ultimii ",durata_evaluare," ani")</f>
        <v>ultimii 5 ani</v>
      </c>
      <c r="E10" s="300" t="str">
        <f>CONCATENATE("ultimii                                  ",durata_evaluare," ani")</f>
        <v>ultimii                                  5 ani</v>
      </c>
      <c r="F10" s="580"/>
      <c r="G10" s="564"/>
    </row>
    <row r="11" spans="1:7" x14ac:dyDescent="0.25">
      <c r="A11" s="88"/>
      <c r="B11" s="65"/>
      <c r="C11" s="30"/>
      <c r="D11" s="149">
        <f>SUMIF(D12:D1012,"&gt;0")</f>
        <v>0</v>
      </c>
      <c r="E11" s="75">
        <f>SUMIF(E12:E1110,"&gt;0")</f>
        <v>0</v>
      </c>
      <c r="F11" s="298"/>
    </row>
    <row r="12" spans="1:7" x14ac:dyDescent="0.25">
      <c r="A12" s="37">
        <v>1</v>
      </c>
      <c r="B12" s="7"/>
      <c r="C12" s="220"/>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20"/>
      <c r="D13" s="150" t="str">
        <f t="shared" si="0"/>
        <v/>
      </c>
      <c r="E13" s="76" t="str">
        <f t="shared" si="1"/>
        <v/>
      </c>
      <c r="F13" s="72" t="b">
        <f t="shared" si="2"/>
        <v>0</v>
      </c>
      <c r="G13" s="73">
        <f t="shared" si="3"/>
        <v>1</v>
      </c>
    </row>
    <row r="14" spans="1:7" x14ac:dyDescent="0.25">
      <c r="A14" s="37">
        <v>3</v>
      </c>
      <c r="B14" s="7"/>
      <c r="C14" s="220"/>
      <c r="D14" s="150" t="str">
        <f t="shared" si="0"/>
        <v/>
      </c>
      <c r="E14" s="76" t="str">
        <f t="shared" si="1"/>
        <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321</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556</v>
      </c>
    </row>
    <row r="18" spans="1:2" ht="15.75" x14ac:dyDescent="0.25">
      <c r="A18" s="156">
        <v>14</v>
      </c>
      <c r="B18" s="140" t="s">
        <v>379</v>
      </c>
    </row>
    <row r="19" spans="1:2" ht="15.75" x14ac:dyDescent="0.25">
      <c r="A19" s="156">
        <v>15</v>
      </c>
      <c r="B19" s="140" t="s">
        <v>380</v>
      </c>
    </row>
    <row r="20" spans="1:2" ht="15.75" x14ac:dyDescent="0.25">
      <c r="A20" s="156">
        <v>16</v>
      </c>
      <c r="B20" s="140" t="s">
        <v>557</v>
      </c>
    </row>
    <row r="21" spans="1:2" ht="15.75" x14ac:dyDescent="0.25">
      <c r="A21" s="156">
        <v>17</v>
      </c>
      <c r="B21" s="140" t="s">
        <v>381</v>
      </c>
    </row>
    <row r="22" spans="1:2" ht="15.75" x14ac:dyDescent="0.25">
      <c r="A22" s="156">
        <v>18</v>
      </c>
      <c r="B22" s="140" t="s">
        <v>382</v>
      </c>
    </row>
    <row r="23" spans="1:2" ht="15.75" x14ac:dyDescent="0.25">
      <c r="A23" s="156">
        <v>19</v>
      </c>
      <c r="B23" s="140" t="s">
        <v>558</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559</v>
      </c>
    </row>
    <row r="31" spans="1:2" ht="15.75" x14ac:dyDescent="0.25">
      <c r="A31" s="156">
        <v>27</v>
      </c>
      <c r="B31" s="141" t="s">
        <v>560</v>
      </c>
    </row>
    <row r="32" spans="1:2" ht="15.75" x14ac:dyDescent="0.25">
      <c r="A32" s="156">
        <v>28</v>
      </c>
      <c r="B32" s="141" t="s">
        <v>561</v>
      </c>
    </row>
    <row r="33" spans="1:2" ht="15.75" x14ac:dyDescent="0.25">
      <c r="A33" s="156">
        <v>29</v>
      </c>
      <c r="B33" s="141" t="s">
        <v>562</v>
      </c>
    </row>
    <row r="34" spans="1:2" ht="15.75" x14ac:dyDescent="0.25">
      <c r="A34" s="156">
        <v>30</v>
      </c>
      <c r="B34" s="141" t="s">
        <v>417</v>
      </c>
    </row>
    <row r="35" spans="1:2" ht="15.75" x14ac:dyDescent="0.25">
      <c r="A35" s="156">
        <v>31</v>
      </c>
      <c r="B35" s="141" t="s">
        <v>563</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564</v>
      </c>
    </row>
    <row r="40" spans="1:2" ht="15.75" x14ac:dyDescent="0.25">
      <c r="A40" s="156">
        <v>36</v>
      </c>
      <c r="B40" s="141" t="s">
        <v>565</v>
      </c>
    </row>
    <row r="41" spans="1:2" ht="15.75" x14ac:dyDescent="0.25">
      <c r="A41" s="156">
        <v>37</v>
      </c>
      <c r="B41" s="141" t="s">
        <v>566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325</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567</v>
      </c>
    </row>
    <row r="30" spans="1:2" ht="15.75" x14ac:dyDescent="0.25">
      <c r="A30" s="156">
        <v>26</v>
      </c>
      <c r="B30" s="141" t="s">
        <v>412</v>
      </c>
    </row>
    <row r="31" spans="1:2" ht="15.75" x14ac:dyDescent="0.25">
      <c r="A31" s="156">
        <v>27</v>
      </c>
      <c r="B31" s="141" t="s">
        <v>413</v>
      </c>
    </row>
    <row r="32" spans="1:2" ht="15.75" x14ac:dyDescent="0.25">
      <c r="A32" s="156">
        <v>28</v>
      </c>
      <c r="B32" s="141" t="s">
        <v>568</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569</v>
      </c>
    </row>
    <row r="37" spans="1:2" ht="15.75" x14ac:dyDescent="0.25">
      <c r="A37" s="156">
        <v>33</v>
      </c>
      <c r="B37" s="141" t="s">
        <v>570</v>
      </c>
    </row>
    <row r="38" spans="1:2" ht="15.75" x14ac:dyDescent="0.25">
      <c r="A38" s="156">
        <v>34</v>
      </c>
      <c r="B38" s="141" t="s">
        <v>571</v>
      </c>
    </row>
    <row r="39" spans="1:2" ht="15.75" x14ac:dyDescent="0.25">
      <c r="A39" s="156">
        <v>35</v>
      </c>
      <c r="B39" s="141" t="s">
        <v>572</v>
      </c>
    </row>
    <row r="40" spans="1:2" ht="15.75" x14ac:dyDescent="0.25">
      <c r="A40" s="156">
        <v>36</v>
      </c>
      <c r="B40" s="141" t="s">
        <v>573</v>
      </c>
    </row>
    <row r="41" spans="1:2" ht="15.75" x14ac:dyDescent="0.25">
      <c r="A41" s="156">
        <v>37</v>
      </c>
      <c r="B41" s="141" t="s">
        <v>574</v>
      </c>
    </row>
    <row r="42" spans="1:2" ht="15.75" x14ac:dyDescent="0.25">
      <c r="A42" s="156">
        <v>38</v>
      </c>
      <c r="B42" s="141" t="s">
        <v>575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6">
        <v>1</v>
      </c>
      <c r="B5" s="141" t="s">
        <v>657</v>
      </c>
    </row>
    <row r="6" spans="1:2" ht="15.75" x14ac:dyDescent="0.25">
      <c r="A6" s="156">
        <v>2</v>
      </c>
      <c r="B6" s="141" t="s">
        <v>658</v>
      </c>
    </row>
    <row r="7" spans="1:2" ht="15.75" x14ac:dyDescent="0.25">
      <c r="A7" s="156">
        <v>3</v>
      </c>
      <c r="B7" s="141" t="s">
        <v>659</v>
      </c>
    </row>
    <row r="8" spans="1:2" ht="15.75" x14ac:dyDescent="0.25">
      <c r="A8" s="156">
        <v>4</v>
      </c>
      <c r="B8" s="141" t="s">
        <v>660</v>
      </c>
    </row>
    <row r="9" spans="1:2" ht="15.75" x14ac:dyDescent="0.25">
      <c r="A9" s="156">
        <v>5</v>
      </c>
      <c r="B9" s="141" t="s">
        <v>661</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576</v>
      </c>
    </row>
    <row r="2" spans="1:3" s="1" customFormat="1" ht="15" customHeight="1" x14ac:dyDescent="0.25">
      <c r="A2" s="334">
        <v>1</v>
      </c>
      <c r="B2" s="335" t="s">
        <v>340</v>
      </c>
      <c r="C2" s="336" t="s">
        <v>577</v>
      </c>
    </row>
    <row r="3" spans="1:3" ht="15" customHeight="1" x14ac:dyDescent="0.25">
      <c r="A3" s="334">
        <v>2</v>
      </c>
      <c r="B3" s="335" t="s">
        <v>339</v>
      </c>
      <c r="C3" s="336" t="s">
        <v>578</v>
      </c>
    </row>
    <row r="4" spans="1:3" ht="15" customHeight="1" x14ac:dyDescent="0.25">
      <c r="A4" s="334">
        <v>3</v>
      </c>
      <c r="B4" s="335" t="s">
        <v>93</v>
      </c>
      <c r="C4" s="336" t="s">
        <v>579</v>
      </c>
    </row>
    <row r="5" spans="1:3" ht="15" customHeight="1" x14ac:dyDescent="0.25">
      <c r="A5" s="334">
        <v>4</v>
      </c>
      <c r="B5" s="335" t="s">
        <v>580</v>
      </c>
      <c r="C5" s="337" t="s">
        <v>581</v>
      </c>
    </row>
    <row r="6" spans="1:3" ht="15" customHeight="1" x14ac:dyDescent="0.25">
      <c r="A6" s="334">
        <v>5</v>
      </c>
      <c r="B6" s="335" t="s">
        <v>96</v>
      </c>
      <c r="C6" s="337" t="s">
        <v>582</v>
      </c>
    </row>
    <row r="7" spans="1:3" ht="15" customHeight="1" x14ac:dyDescent="0.25">
      <c r="A7" s="334">
        <v>6</v>
      </c>
      <c r="B7" s="335" t="s">
        <v>341</v>
      </c>
      <c r="C7" s="336" t="s">
        <v>583</v>
      </c>
    </row>
    <row r="8" spans="1:3" ht="15" customHeight="1" x14ac:dyDescent="0.25">
      <c r="A8" s="334">
        <v>7</v>
      </c>
      <c r="B8" s="335" t="s">
        <v>584</v>
      </c>
      <c r="C8" s="336" t="s">
        <v>585</v>
      </c>
    </row>
    <row r="9" spans="1:3" ht="15" customHeight="1" x14ac:dyDescent="0.25">
      <c r="A9" s="334">
        <v>8</v>
      </c>
      <c r="B9" s="335" t="s">
        <v>95</v>
      </c>
      <c r="C9" s="337" t="s">
        <v>586</v>
      </c>
    </row>
    <row r="10" spans="1:3" ht="15" customHeight="1" x14ac:dyDescent="0.25">
      <c r="A10" s="334">
        <v>9</v>
      </c>
      <c r="B10" s="335" t="s">
        <v>342</v>
      </c>
      <c r="C10" s="337" t="s">
        <v>587</v>
      </c>
    </row>
    <row r="11" spans="1:3" ht="15" customHeight="1" x14ac:dyDescent="0.25">
      <c r="A11" s="334">
        <v>10</v>
      </c>
      <c r="B11" s="335" t="s">
        <v>588</v>
      </c>
      <c r="C11" s="337" t="s">
        <v>589</v>
      </c>
    </row>
    <row r="12" spans="1:3" ht="15" customHeight="1" x14ac:dyDescent="0.25">
      <c r="A12" s="334">
        <v>11</v>
      </c>
      <c r="B12" s="335" t="s">
        <v>94</v>
      </c>
      <c r="C12" s="337" t="s">
        <v>590</v>
      </c>
    </row>
    <row r="13" spans="1:3" ht="15" customHeight="1" x14ac:dyDescent="0.25">
      <c r="A13" s="334">
        <v>12</v>
      </c>
      <c r="B13" s="335" t="s">
        <v>343</v>
      </c>
      <c r="C13" s="336" t="s">
        <v>591</v>
      </c>
    </row>
    <row r="14" spans="1:3" ht="15" customHeight="1" x14ac:dyDescent="0.25">
      <c r="A14" s="334">
        <v>13</v>
      </c>
      <c r="B14" s="335" t="s">
        <v>344</v>
      </c>
      <c r="C14" s="337" t="s">
        <v>592</v>
      </c>
    </row>
    <row r="15" spans="1:3" ht="15" customHeight="1" x14ac:dyDescent="0.25">
      <c r="A15" s="334">
        <v>14</v>
      </c>
      <c r="B15" s="335" t="s">
        <v>345</v>
      </c>
      <c r="C15" s="336" t="s">
        <v>593</v>
      </c>
    </row>
    <row r="16" spans="1:3" ht="15" customHeight="1" x14ac:dyDescent="0.25">
      <c r="A16" s="334">
        <v>15</v>
      </c>
      <c r="B16" s="335" t="s">
        <v>346</v>
      </c>
      <c r="C16" s="336" t="s">
        <v>594</v>
      </c>
    </row>
    <row r="17" spans="1:3" ht="15" customHeight="1" x14ac:dyDescent="0.25">
      <c r="A17" s="334">
        <v>16</v>
      </c>
      <c r="B17" s="335" t="s">
        <v>347</v>
      </c>
      <c r="C17" s="336" t="s">
        <v>595</v>
      </c>
    </row>
    <row r="18" spans="1:3" ht="15" customHeight="1" x14ac:dyDescent="0.25">
      <c r="A18" s="334">
        <v>17</v>
      </c>
      <c r="B18" s="335" t="s">
        <v>348</v>
      </c>
      <c r="C18" s="336" t="s">
        <v>596</v>
      </c>
    </row>
    <row r="19" spans="1:3" ht="15" customHeight="1" x14ac:dyDescent="0.25">
      <c r="A19" s="334">
        <v>18</v>
      </c>
      <c r="B19" s="335" t="s">
        <v>349</v>
      </c>
      <c r="C19" s="336" t="s">
        <v>597</v>
      </c>
    </row>
    <row r="20" spans="1:3" ht="15" customHeight="1" x14ac:dyDescent="0.25">
      <c r="A20" s="334">
        <v>19</v>
      </c>
      <c r="B20" s="335" t="s">
        <v>350</v>
      </c>
      <c r="C20" s="336" t="s">
        <v>598</v>
      </c>
    </row>
    <row r="21" spans="1:3" ht="15" customHeight="1" x14ac:dyDescent="0.25">
      <c r="A21" s="334">
        <v>20</v>
      </c>
      <c r="B21" s="335" t="s">
        <v>351</v>
      </c>
      <c r="C21" s="336" t="s">
        <v>599</v>
      </c>
    </row>
    <row r="22" spans="1:3" ht="15" customHeight="1" x14ac:dyDescent="0.25">
      <c r="A22" s="334">
        <v>21</v>
      </c>
      <c r="B22" s="335" t="s">
        <v>352</v>
      </c>
      <c r="C22" s="336" t="s">
        <v>600</v>
      </c>
    </row>
    <row r="23" spans="1:3" ht="15" customHeight="1" x14ac:dyDescent="0.25">
      <c r="A23" s="334">
        <v>22</v>
      </c>
      <c r="B23" s="335" t="s">
        <v>353</v>
      </c>
      <c r="C23" s="336" t="s">
        <v>601</v>
      </c>
    </row>
    <row r="24" spans="1:3" ht="15" customHeight="1" x14ac:dyDescent="0.25">
      <c r="A24" s="334">
        <v>23</v>
      </c>
      <c r="B24" s="335" t="s">
        <v>354</v>
      </c>
      <c r="C24" s="336" t="s">
        <v>602</v>
      </c>
    </row>
    <row r="25" spans="1:3" ht="15" customHeight="1" x14ac:dyDescent="0.25">
      <c r="A25" s="334">
        <v>24</v>
      </c>
      <c r="B25" s="335" t="s">
        <v>355</v>
      </c>
      <c r="C25" s="336" t="s">
        <v>603</v>
      </c>
    </row>
    <row r="26" spans="1:3" ht="15" customHeight="1" x14ac:dyDescent="0.25">
      <c r="A26" s="334">
        <v>25</v>
      </c>
      <c r="B26" s="335" t="s">
        <v>356</v>
      </c>
      <c r="C26" s="336" t="s">
        <v>604</v>
      </c>
    </row>
    <row r="27" spans="1:3" ht="15" customHeight="1" x14ac:dyDescent="0.25">
      <c r="A27" s="334">
        <v>26</v>
      </c>
      <c r="B27" s="335" t="s">
        <v>90</v>
      </c>
      <c r="C27" s="335" t="s">
        <v>605</v>
      </c>
    </row>
    <row r="28" spans="1:3" ht="15" customHeight="1" x14ac:dyDescent="0.25">
      <c r="A28" s="334">
        <v>27</v>
      </c>
      <c r="B28" s="335" t="s">
        <v>357</v>
      </c>
      <c r="C28" s="336" t="s">
        <v>606</v>
      </c>
    </row>
    <row r="29" spans="1:3" ht="15" customHeight="1" x14ac:dyDescent="0.25">
      <c r="A29" s="334">
        <v>28</v>
      </c>
      <c r="B29" s="335" t="s">
        <v>358</v>
      </c>
      <c r="C29" s="336" t="s">
        <v>607</v>
      </c>
    </row>
    <row r="30" spans="1:3" ht="15" customHeight="1" x14ac:dyDescent="0.25">
      <c r="A30" s="334">
        <v>29</v>
      </c>
      <c r="B30" s="335" t="s">
        <v>359</v>
      </c>
      <c r="C30" s="337" t="s">
        <v>608</v>
      </c>
    </row>
    <row r="31" spans="1:3" ht="15" customHeight="1" x14ac:dyDescent="0.25">
      <c r="A31" s="334">
        <v>30</v>
      </c>
      <c r="B31" s="335" t="s">
        <v>360</v>
      </c>
      <c r="C31" s="336" t="s">
        <v>609</v>
      </c>
    </row>
    <row r="32" spans="1:3" ht="15" customHeight="1" x14ac:dyDescent="0.25">
      <c r="A32" s="334">
        <v>31</v>
      </c>
      <c r="B32" s="335" t="s">
        <v>361</v>
      </c>
      <c r="C32" s="336" t="s">
        <v>610</v>
      </c>
    </row>
    <row r="33" spans="1:3" ht="15" customHeight="1" x14ac:dyDescent="0.25">
      <c r="A33" s="334">
        <v>32</v>
      </c>
      <c r="B33" s="335" t="s">
        <v>362</v>
      </c>
      <c r="C33" s="335" t="s">
        <v>605</v>
      </c>
    </row>
    <row r="34" spans="1:3" ht="15" customHeight="1" x14ac:dyDescent="0.25">
      <c r="A34" s="334">
        <v>33</v>
      </c>
      <c r="B34" s="335" t="s">
        <v>363</v>
      </c>
      <c r="C34" s="336" t="s">
        <v>611</v>
      </c>
    </row>
    <row r="35" spans="1:3" ht="15" customHeight="1" x14ac:dyDescent="0.25">
      <c r="A35" s="334">
        <v>34</v>
      </c>
      <c r="B35" s="335" t="s">
        <v>364</v>
      </c>
      <c r="C35" s="336" t="s">
        <v>612</v>
      </c>
    </row>
    <row r="36" spans="1:3" ht="15" customHeight="1" x14ac:dyDescent="0.25">
      <c r="A36" s="334">
        <v>35</v>
      </c>
      <c r="B36" s="335" t="s">
        <v>365</v>
      </c>
      <c r="C36" s="336" t="s">
        <v>613</v>
      </c>
    </row>
    <row r="37" spans="1:3" ht="15" customHeight="1" x14ac:dyDescent="0.25">
      <c r="A37" s="334">
        <v>36</v>
      </c>
      <c r="B37" s="338" t="s">
        <v>366</v>
      </c>
      <c r="C37" s="337" t="s">
        <v>614</v>
      </c>
    </row>
    <row r="38" spans="1:3" ht="15" customHeight="1" x14ac:dyDescent="0.25">
      <c r="A38" s="339">
        <v>37</v>
      </c>
      <c r="B38" s="338" t="s">
        <v>615</v>
      </c>
      <c r="C38" s="336" t="s">
        <v>616</v>
      </c>
    </row>
    <row r="39" spans="1:3" ht="15" customHeight="1" x14ac:dyDescent="0.25">
      <c r="A39" s="339">
        <v>38</v>
      </c>
      <c r="B39" s="338" t="s">
        <v>617</v>
      </c>
      <c r="C39" s="336" t="s">
        <v>618</v>
      </c>
    </row>
    <row r="40" spans="1:3" ht="15" customHeight="1" x14ac:dyDescent="0.25">
      <c r="A40" s="339">
        <v>39</v>
      </c>
      <c r="B40" s="338" t="s">
        <v>619</v>
      </c>
      <c r="C40" s="336" t="s">
        <v>620</v>
      </c>
    </row>
    <row r="41" spans="1:3" ht="15" customHeight="1" x14ac:dyDescent="0.25">
      <c r="A41" s="339">
        <v>40</v>
      </c>
      <c r="B41" s="338" t="s">
        <v>621</v>
      </c>
      <c r="C41" s="336" t="s">
        <v>622</v>
      </c>
    </row>
    <row r="42" spans="1:3" ht="15" customHeight="1" x14ac:dyDescent="0.25">
      <c r="A42" s="339">
        <v>41</v>
      </c>
      <c r="B42" s="338" t="s">
        <v>623</v>
      </c>
      <c r="C42" s="336" t="s">
        <v>624</v>
      </c>
    </row>
    <row r="43" spans="1:3" ht="15" customHeight="1" x14ac:dyDescent="0.25">
      <c r="A43" s="339">
        <v>42</v>
      </c>
      <c r="B43" s="338" t="s">
        <v>625</v>
      </c>
      <c r="C43" s="336" t="s">
        <v>626</v>
      </c>
    </row>
    <row r="44" spans="1:3" ht="15" customHeight="1" x14ac:dyDescent="0.25">
      <c r="A44" s="339">
        <v>43</v>
      </c>
      <c r="B44" s="338" t="s">
        <v>627</v>
      </c>
      <c r="C44" s="336" t="s">
        <v>628</v>
      </c>
    </row>
    <row r="45" spans="1:3" ht="15" customHeight="1" x14ac:dyDescent="0.25">
      <c r="A45" s="339">
        <v>44</v>
      </c>
      <c r="B45" s="338" t="s">
        <v>629</v>
      </c>
      <c r="C45" s="336" t="s">
        <v>630</v>
      </c>
    </row>
    <row r="46" spans="1:3" ht="15" customHeight="1" x14ac:dyDescent="0.25">
      <c r="A46" s="339">
        <v>45</v>
      </c>
      <c r="B46" s="338" t="s">
        <v>631</v>
      </c>
      <c r="C46" s="336" t="s">
        <v>632</v>
      </c>
    </row>
    <row r="47" spans="1:3" ht="15" customHeight="1" x14ac:dyDescent="0.25">
      <c r="A47" s="339">
        <v>46</v>
      </c>
      <c r="B47" s="338" t="s">
        <v>633</v>
      </c>
      <c r="C47" s="336" t="s">
        <v>634</v>
      </c>
    </row>
    <row r="48" spans="1:3" ht="15" customHeight="1" x14ac:dyDescent="0.25">
      <c r="A48" s="339">
        <v>47</v>
      </c>
      <c r="B48" s="338" t="s">
        <v>635</v>
      </c>
      <c r="C48" s="336" t="s">
        <v>636</v>
      </c>
    </row>
    <row r="49" spans="1:11" ht="15" customHeight="1" x14ac:dyDescent="0.25">
      <c r="A49" s="339">
        <v>48</v>
      </c>
      <c r="B49" s="338" t="s">
        <v>637</v>
      </c>
      <c r="C49" s="336" t="s">
        <v>638</v>
      </c>
    </row>
    <row r="50" spans="1:11" ht="15" customHeight="1" x14ac:dyDescent="0.25">
      <c r="A50" s="339">
        <v>49</v>
      </c>
      <c r="B50" s="338" t="s">
        <v>639</v>
      </c>
      <c r="C50" s="336" t="s">
        <v>640</v>
      </c>
    </row>
    <row r="51" spans="1:11" ht="15" customHeight="1" x14ac:dyDescent="0.25">
      <c r="A51" s="339">
        <v>50</v>
      </c>
      <c r="B51" s="338" t="s">
        <v>641</v>
      </c>
      <c r="C51" s="336" t="s">
        <v>642</v>
      </c>
    </row>
    <row r="52" spans="1:11" ht="15" customHeight="1" x14ac:dyDescent="0.25">
      <c r="A52" s="339">
        <v>51</v>
      </c>
      <c r="B52" s="338" t="s">
        <v>643</v>
      </c>
      <c r="C52" s="336" t="s">
        <v>644</v>
      </c>
    </row>
    <row r="53" spans="1:11" ht="15" customHeight="1" x14ac:dyDescent="0.25">
      <c r="A53" s="339">
        <v>52</v>
      </c>
      <c r="B53" s="338" t="s">
        <v>645</v>
      </c>
      <c r="C53" s="336" t="s">
        <v>646</v>
      </c>
    </row>
    <row r="54" spans="1:11" ht="15" customHeight="1" x14ac:dyDescent="0.25">
      <c r="A54" s="339">
        <v>53</v>
      </c>
      <c r="B54" s="40" t="s">
        <v>647</v>
      </c>
      <c r="C54" s="336" t="s">
        <v>648</v>
      </c>
    </row>
    <row r="55" spans="1:11" ht="15" customHeight="1" x14ac:dyDescent="0.25">
      <c r="A55" s="339">
        <v>54</v>
      </c>
      <c r="B55" s="340" t="s">
        <v>1022</v>
      </c>
      <c r="C55" s="341"/>
      <c r="E55" s="633" t="s">
        <v>331</v>
      </c>
      <c r="F55" s="633"/>
      <c r="G55" s="633"/>
      <c r="H55" s="633"/>
      <c r="I55" s="633"/>
      <c r="J55" s="633"/>
      <c r="K55" s="633"/>
    </row>
    <row r="56" spans="1:11" ht="15" customHeight="1" x14ac:dyDescent="0.25">
      <c r="A56" s="339">
        <v>55</v>
      </c>
      <c r="B56" s="340" t="s">
        <v>1021</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34" t="s">
        <v>60</v>
      </c>
      <c r="B1" s="635"/>
      <c r="C1" s="636"/>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26" sqref="C26"/>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652</v>
      </c>
      <c r="B5" s="559"/>
      <c r="C5" s="559"/>
      <c r="D5" s="559"/>
      <c r="E5" s="559"/>
      <c r="F5" s="559"/>
      <c r="G5" s="559"/>
      <c r="H5" s="559"/>
      <c r="I5" s="559"/>
      <c r="J5" s="226"/>
      <c r="K5" s="226"/>
      <c r="L5" s="226"/>
      <c r="M5" s="226"/>
      <c r="N5" s="64"/>
    </row>
    <row r="6" spans="1:16" ht="13.5" customHeight="1" x14ac:dyDescent="0.3">
      <c r="E6" s="64"/>
      <c r="F6" s="64"/>
      <c r="H6" s="64"/>
      <c r="I6" s="347" t="str">
        <f>CONCATENATE(functie," ",nume_candidat)</f>
        <v>Profesor Lascu Dan</v>
      </c>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6.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25">
      <c r="A10" s="37"/>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ht="15.6" x14ac:dyDescent="0.3">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ht="15.6" x14ac:dyDescent="0.3">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ht="15.6" x14ac:dyDescent="0.3">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ht="15.6" x14ac:dyDescent="0.3">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ht="15.6" x14ac:dyDescent="0.3">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ht="15.6" x14ac:dyDescent="0.3">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ht="15.6" x14ac:dyDescent="0.3">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ht="15.6" x14ac:dyDescent="0.3">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ht="15.6" x14ac:dyDescent="0.3">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ht="15.6" x14ac:dyDescent="0.3">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ht="15.6" x14ac:dyDescent="0.3">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ht="15.6" x14ac:dyDescent="0.3">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ht="15.6" x14ac:dyDescent="0.3">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ht="15.6" x14ac:dyDescent="0.3">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ht="15.6" x14ac:dyDescent="0.3">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ht="15.6" x14ac:dyDescent="0.3">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ht="15.6" x14ac:dyDescent="0.3">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ht="15.6" x14ac:dyDescent="0.3">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ht="15.6" x14ac:dyDescent="0.3">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A10" sqref="A10:H1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ht="15.6"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ht="15.6" x14ac:dyDescent="0.2">
      <c r="A3" s="346" t="str">
        <f>IF(ISBLANK(departament),"","Departamentul " &amp; departament)</f>
        <v>Departamentul Electronică Aplicată</v>
      </c>
      <c r="E3" s="61"/>
      <c r="F3" s="61"/>
      <c r="H3" s="62"/>
      <c r="I3" s="63"/>
      <c r="K3" s="62"/>
      <c r="M3" s="289"/>
      <c r="N3" s="289"/>
      <c r="O3" s="289"/>
    </row>
    <row r="4" spans="1:16" x14ac:dyDescent="0.25">
      <c r="A4" s="559" t="s">
        <v>784</v>
      </c>
      <c r="B4" s="559"/>
      <c r="C4" s="559"/>
      <c r="D4" s="559"/>
      <c r="E4" s="559"/>
      <c r="F4" s="559"/>
      <c r="G4" s="559"/>
      <c r="H4" s="559"/>
      <c r="I4" s="559"/>
      <c r="J4" s="226"/>
      <c r="K4" s="226"/>
      <c r="L4" s="226"/>
      <c r="M4" s="226"/>
      <c r="N4" s="64"/>
      <c r="O4" s="291"/>
    </row>
    <row r="5" spans="1:16" x14ac:dyDescent="0.25">
      <c r="A5" s="559" t="s">
        <v>653</v>
      </c>
      <c r="B5" s="559"/>
      <c r="C5" s="559"/>
      <c r="D5" s="559"/>
      <c r="E5" s="559"/>
      <c r="F5" s="559"/>
      <c r="G5" s="559"/>
      <c r="H5" s="559"/>
      <c r="I5" s="559"/>
      <c r="J5" s="226"/>
      <c r="K5" s="226"/>
      <c r="L5" s="226"/>
      <c r="M5" s="226"/>
      <c r="N5" s="64"/>
    </row>
    <row r="6" spans="1:16" ht="13.5" customHeight="1" x14ac:dyDescent="0.3">
      <c r="E6" s="64"/>
      <c r="F6" s="64"/>
      <c r="H6" s="64"/>
      <c r="I6" s="301"/>
      <c r="J6" s="347" t="str">
        <f>CONCATENATE(functie," ",nume_candidat)</f>
        <v>Profesor Lascu Dan</v>
      </c>
      <c r="N6" s="64"/>
    </row>
    <row r="7" spans="1:16" ht="18.75" customHeight="1" x14ac:dyDescent="0.25">
      <c r="A7" s="556" t="s">
        <v>338</v>
      </c>
      <c r="B7" s="556" t="s">
        <v>0</v>
      </c>
      <c r="C7" s="556" t="s">
        <v>545</v>
      </c>
      <c r="D7" s="556" t="s">
        <v>16</v>
      </c>
      <c r="E7" s="557" t="s">
        <v>17</v>
      </c>
      <c r="F7" s="562" t="s">
        <v>2</v>
      </c>
      <c r="G7" s="556" t="s">
        <v>18</v>
      </c>
      <c r="H7" s="557" t="s">
        <v>546</v>
      </c>
      <c r="I7" s="556" t="s">
        <v>544</v>
      </c>
      <c r="J7" s="556"/>
      <c r="K7" s="556" t="s">
        <v>4</v>
      </c>
      <c r="L7" s="556"/>
      <c r="M7" s="560" t="s">
        <v>48</v>
      </c>
      <c r="N7" s="561"/>
      <c r="O7" s="563" t="s">
        <v>541</v>
      </c>
      <c r="P7" s="564" t="s">
        <v>551</v>
      </c>
    </row>
    <row r="8" spans="1:16" ht="45.75" customHeight="1" x14ac:dyDescent="0.25">
      <c r="A8" s="556"/>
      <c r="B8" s="556"/>
      <c r="C8" s="556"/>
      <c r="D8" s="556"/>
      <c r="E8" s="558"/>
      <c r="F8" s="562"/>
      <c r="G8" s="556"/>
      <c r="H8" s="55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63"/>
      <c r="P8" s="564"/>
    </row>
    <row r="9" spans="1:16" ht="15.6" x14ac:dyDescent="0.3">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25">
      <c r="A10" s="37"/>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25">
      <c r="A11" s="37"/>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ht="15.6" x14ac:dyDescent="0.3">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ht="15.6" x14ac:dyDescent="0.3">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ht="15.6" x14ac:dyDescent="0.3">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ht="15.6" x14ac:dyDescent="0.3">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ht="15.6" x14ac:dyDescent="0.3">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ht="15.6" x14ac:dyDescent="0.3">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ht="15.6" x14ac:dyDescent="0.3">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ht="15.6" x14ac:dyDescent="0.3">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ht="15.6" x14ac:dyDescent="0.3">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ht="15.6" x14ac:dyDescent="0.3">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ht="15.6" x14ac:dyDescent="0.3">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ht="15.6" x14ac:dyDescent="0.3">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ht="15.6" x14ac:dyDescent="0.3">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ht="15.6" x14ac:dyDescent="0.3">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ht="15.6" x14ac:dyDescent="0.3">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ht="15.6" x14ac:dyDescent="0.3">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ht="15.6" x14ac:dyDescent="0.3">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ht="15.6" x14ac:dyDescent="0.3">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ht="15.6" x14ac:dyDescent="0.3">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ht="15.6" x14ac:dyDescent="0.3">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ht="15.6" x14ac:dyDescent="0.3">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2020-08-31T12:43:52Z</dcterms:modified>
  <cp:category/>
</cp:coreProperties>
</file>