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0490" windowHeight="775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J9" i="130" s="1"/>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I9" i="130" s="1"/>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I9" i="128"/>
  <c r="J9" i="128"/>
  <c r="K9" i="128"/>
  <c r="L9" i="128"/>
  <c r="M9" i="128"/>
  <c r="N9" i="128"/>
  <c r="H9" i="129"/>
  <c r="C91" i="82" s="1"/>
  <c r="I9" i="129"/>
  <c r="C105" i="82"/>
  <c r="C104" i="82"/>
  <c r="C92" i="82"/>
  <c r="C133" i="82"/>
  <c r="C132" i="82"/>
  <c r="C109"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I9" i="125" s="1"/>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M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217" i="24" l="1"/>
  <c r="S226" i="25"/>
  <c r="R229" i="25"/>
  <c r="Q183" i="24"/>
  <c r="S227"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E9" i="131"/>
  <c r="E9" i="130"/>
  <c r="C110" i="82"/>
  <c r="C107" i="82"/>
  <c r="C106"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102" i="82"/>
  <c r="H9" i="130"/>
  <c r="C103" i="82" s="1"/>
  <c r="C95" i="82"/>
  <c r="C97" i="82"/>
  <c r="C90"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F11" i="127" s="1"/>
  <c r="C86" i="82" s="1"/>
  <c r="H12" i="127"/>
  <c r="I12" i="127"/>
  <c r="J12" i="127"/>
  <c r="J11" i="127" s="1"/>
  <c r="C101" i="82"/>
  <c r="C100" i="82"/>
  <c r="C99" i="82"/>
  <c r="E15" i="126"/>
  <c r="C81" i="82" s="1"/>
  <c r="H11" i="127" l="1"/>
  <c r="C87" i="82" s="1"/>
  <c r="I11" i="127"/>
  <c r="C88"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I9" i="121" l="1"/>
  <c r="E9" i="67"/>
  <c r="E9" i="66"/>
  <c r="F9" i="60"/>
  <c r="F9" i="120"/>
  <c r="E8" i="65"/>
  <c r="D9" i="123"/>
  <c r="G9" i="124"/>
  <c r="C75" i="82" s="1"/>
  <c r="G10" i="122"/>
  <c r="D14" i="119"/>
  <c r="C58" i="82" s="1"/>
  <c r="G12" i="122"/>
  <c r="C74" i="8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E11" i="107" s="1"/>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E11" i="106" s="1"/>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F11" i="105" s="1"/>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G11" i="102" s="1"/>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G11" i="101" s="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F11" i="100" s="1"/>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E11" i="99" s="1"/>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7" i="90"/>
  <c r="E19" i="90"/>
  <c r="E21" i="90"/>
  <c r="E23" i="90"/>
  <c r="E25" i="90"/>
  <c r="E27" i="90"/>
  <c r="E29"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E16" i="90" s="1"/>
  <c r="G17" i="90"/>
  <c r="G18" i="90"/>
  <c r="E18" i="90" s="1"/>
  <c r="G19" i="90"/>
  <c r="G20" i="90"/>
  <c r="E20" i="90" s="1"/>
  <c r="G21" i="90"/>
  <c r="G22" i="90"/>
  <c r="E22" i="90" s="1"/>
  <c r="G23" i="90"/>
  <c r="G24" i="90"/>
  <c r="E24" i="90" s="1"/>
  <c r="G25" i="90"/>
  <c r="G26" i="90"/>
  <c r="E26" i="90" s="1"/>
  <c r="G27" i="90"/>
  <c r="G28" i="90"/>
  <c r="E28" i="90" s="1"/>
  <c r="G29" i="90"/>
  <c r="G30" i="90"/>
  <c r="E30" i="90" s="1"/>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D12" i="113" l="1"/>
  <c r="E11" i="113"/>
  <c r="G11" i="111"/>
  <c r="F11" i="110"/>
  <c r="E12" i="109"/>
  <c r="F11" i="109"/>
  <c r="D12" i="108"/>
  <c r="D11" i="108" s="1"/>
  <c r="C147" i="82" s="1"/>
  <c r="F11" i="108"/>
  <c r="G11" i="104"/>
  <c r="F12" i="98"/>
  <c r="G11" i="98"/>
  <c r="G11" i="97"/>
  <c r="L19" i="97"/>
  <c r="K19" i="97"/>
  <c r="J19" i="97"/>
  <c r="F19" i="97"/>
  <c r="K20" i="97"/>
  <c r="J20" i="97"/>
  <c r="L20" i="97"/>
  <c r="F20" i="97"/>
  <c r="K15" i="97"/>
  <c r="J15" i="97"/>
  <c r="L15" i="97"/>
  <c r="K17" i="97"/>
  <c r="J17" i="97"/>
  <c r="L17" i="97"/>
  <c r="F17" i="97"/>
  <c r="F15" i="97"/>
  <c r="L16" i="97"/>
  <c r="K16" i="97"/>
  <c r="J16" i="97"/>
  <c r="L18" i="97"/>
  <c r="K18" i="97"/>
  <c r="J18" i="97"/>
  <c r="F18" i="97"/>
  <c r="F16" i="97"/>
  <c r="H9" i="115"/>
  <c r="F11" i="94"/>
  <c r="C28" i="82" s="1"/>
  <c r="D11" i="96"/>
  <c r="F11" i="98"/>
  <c r="E11" i="90"/>
  <c r="E11" i="95"/>
  <c r="E11" i="109"/>
  <c r="D11" i="113"/>
  <c r="C151" i="82" s="1"/>
  <c r="F11" i="93"/>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J11" i="105" s="1"/>
  <c r="I12" i="105"/>
  <c r="F14" i="104"/>
  <c r="O14" i="104"/>
  <c r="N14" i="104"/>
  <c r="M14" i="104"/>
  <c r="L14" i="104"/>
  <c r="K14" i="104"/>
  <c r="J14" i="104"/>
  <c r="F13" i="104"/>
  <c r="N13" i="104"/>
  <c r="M13" i="104"/>
  <c r="L13" i="104"/>
  <c r="O13" i="104"/>
  <c r="K13" i="104"/>
  <c r="J13" i="104"/>
  <c r="O12" i="104"/>
  <c r="M12" i="104"/>
  <c r="M11" i="104" s="1"/>
  <c r="K12" i="104"/>
  <c r="K11" i="104" s="1"/>
  <c r="N12" i="104"/>
  <c r="N11" i="104" s="1"/>
  <c r="L12" i="104"/>
  <c r="L11" i="104" s="1"/>
  <c r="J12" i="104"/>
  <c r="J11" i="104" s="1"/>
  <c r="J15" i="102"/>
  <c r="L15" i="102"/>
  <c r="M15" i="102"/>
  <c r="K15" i="102"/>
  <c r="F12" i="97"/>
  <c r="K12" i="97"/>
  <c r="J12" i="97"/>
  <c r="L12" i="97"/>
  <c r="F14" i="97"/>
  <c r="K14" i="97"/>
  <c r="J14" i="97"/>
  <c r="L14" i="97"/>
  <c r="F13" i="97"/>
  <c r="K13" i="97"/>
  <c r="J13" i="97"/>
  <c r="L13" i="97"/>
  <c r="C150" i="82"/>
  <c r="D12" i="110"/>
  <c r="D12" i="107"/>
  <c r="D12" i="106"/>
  <c r="F12" i="104"/>
  <c r="F11" i="104" s="1"/>
  <c r="C131" i="82"/>
  <c r="F12" i="102"/>
  <c r="E12" i="101"/>
  <c r="E12" i="100"/>
  <c r="D12" i="99"/>
  <c r="C122" i="82"/>
  <c r="F11" i="96"/>
  <c r="C30" i="82"/>
  <c r="F11" i="95"/>
  <c r="C29" i="82"/>
  <c r="H11" i="94"/>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I11" i="105" l="1"/>
  <c r="E11" i="105"/>
  <c r="C142" i="82" s="1"/>
  <c r="O11" i="104"/>
  <c r="M11" i="102"/>
  <c r="J11" i="102"/>
  <c r="L11" i="102"/>
  <c r="K11" i="102"/>
  <c r="J11" i="97"/>
  <c r="L11" i="97"/>
  <c r="K11" i="97"/>
  <c r="D11" i="107"/>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T9" i="25" l="1"/>
  <c r="C53" i="82" s="1"/>
  <c r="S9" i="25"/>
  <c r="C52" i="82" s="1"/>
  <c r="R9" i="25"/>
  <c r="C51" i="82" s="1"/>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O9" i="23"/>
  <c r="R9" i="24"/>
  <c r="C48" i="82" s="1"/>
  <c r="H9" i="1"/>
  <c r="P9" i="23"/>
  <c r="S9" i="24"/>
  <c r="C49" i="82" s="1"/>
  <c r="S9" i="23"/>
  <c r="I9" i="23"/>
  <c r="C43" i="82"/>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<sst xmlns="http://schemas.openxmlformats.org/spreadsheetml/2006/main" count="3471" uniqueCount="1417">
  <si>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</si>
  <si>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</si>
  <si>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</si>
  <si>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</si>
  <si>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</si>
  <si>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</si>
  <si>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</si>
  <si>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</si>
  <si>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</si>
  <si>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</si>
  <si>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</si>
  <si>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</si>
  <si>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</si>
  <si>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</si>
  <si>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</si>
  <si>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</si>
  <si>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</si>
  <si>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</si>
  <si>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</si>
  <si>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</si>
  <si>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</si>
  <si>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</si>
  <si>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</si>
  <si>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</si>
  <si>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</si>
  <si>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</si>
  <si>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</si>
  <si>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</si>
  <si>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</si>
  <si>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</si>
  <si>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</si>
  <si>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</si>
  <si>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</si>
  <si>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</si>
  <si>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</si>
  <si>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</si>
  <si>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</si>
  <si>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</si>
  <si>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</si>
  <si>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</si>
  <si>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</si>
  <si>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</si>
  <si>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</si>
  <si>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</si>
  <si>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</si>
  <si>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</si>
  <si>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</si>
  <si>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</si>
  <si>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</si>
  <si>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</si>
  <si>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</si>
  <si>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</si>
  <si>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</si>
  <si>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</si>
  <si>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</si>
  <si>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</si>
  <si>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</si>
  <si>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</si>
  <si>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</si>
  <si>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</si>
  <si>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</si>
  <si>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</si>
  <si>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</si>
  <si>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</si>
  <si>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</si>
  <si>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</si>
  <si>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</si>
  <si>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</si>
  <si>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</si>
  <si>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</si>
  <si>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</si>
  <si>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</si>
  <si>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</si>
  <si>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</si>
  <si>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</si>
  <si>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</si>
  <si>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</si>
  <si>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</si>
  <si>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</si>
  <si>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</si>
  <si>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</si>
  <si>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</si>
  <si>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</si>
  <si>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</si>
  <si>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</si>
  <si>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</si>
  <si>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</si>
  <si>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</si>
  <si>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</si>
  <si>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</si>
  <si>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</si>
  <si>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</si>
  <si>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</si>
  <si>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</si>
  <si>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</si>
  <si>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</si>
  <si>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</si>
  <si>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</si>
  <si>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</si>
  <si>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</si>
  <si>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</si>
  <si>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</si>
  <si>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</si>
  <si>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</si>
  <si>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</si>
  <si>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</si>
  <si>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</si>
  <si>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</si>
  <si>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</si>
  <si>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</si>
  <si>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</si>
  <si>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</si>
  <si>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</si>
  <si>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</si>
  <si>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</si>
  <si>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</si>
  <si>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</si>
  <si>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</si>
  <si>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</si>
  <si>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</si>
  <si>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</si>
  <si>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</si>
  <si>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</si>
  <si>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</si>
  <si>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</si>
  <si>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</si>
  <si>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</si>
  <si>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</si>
  <si>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</si>
  <si>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</si>
  <si>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</si>
  <si>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</si>
  <si>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</si>
  <si>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</si>
  <si>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</si>
  <si>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</si>
  <si>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</si>
  <si>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</si>
  <si>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</si>
  <si>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</si>
  <si>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</si>
  <si>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</si>
  <si>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</si>
  <si>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</si>
  <si>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</si>
  <si>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</si>
  <si>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</si>
  <si>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</si>
  <si>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</si>
  <si>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</si>
  <si>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</si>
  <si>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</si>
  <si>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</si>
  <si>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</si>
  <si>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</si>
  <si>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</si>
  <si>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</si>
  <si>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</si>
  <si>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</si>
  <si>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</si>
  <si>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</si>
  <si>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</si>
  <si>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</si>
  <si>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</si>
  <si>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</si>
  <si>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</si>
  <si>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</si>
  <si>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</si>
  <si>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</si>
  <si>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</si>
  <si>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</si>
  <si>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</si>
  <si>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</si>
  <si>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</si>
  <si>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</si>
  <si>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</si>
  <si>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</si>
  <si>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</si>
  <si>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</si>
  <si>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</si>
  <si>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</si>
  <si>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</si>
  <si>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</si>
  <si>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</si>
  <si>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</si>
  <si>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</si>
  <si>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</si>
  <si>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</si>
  <si>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</si>
  <si>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</si>
  <si>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</si>
  <si>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</si>
  <si>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</si>
  <si>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</si>
  <si>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</si>
  <si>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</si>
  <si>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</si>
  <si>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</si>
  <si>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</si>
  <si>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</si>
  <si>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</si>
  <si>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</si>
  <si>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</si>
  <si>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</si>
  <si>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</si>
  <si>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</si>
  <si>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</si>
  <si>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</si>
  <si>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</si>
  <si>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</si>
  <si>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</si>
  <si>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</si>
  <si>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</si>
  <si>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</si>
  <si>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</si>
  <si>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</si>
  <si>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</si>
  <si>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</si>
  <si>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</si>
  <si>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</si>
  <si>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</si>
  <si>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</si>
  <si>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</si>
  <si>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</si>
  <si>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</si>
  <si>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</si>
  <si>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</si>
  <si>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</si>
  <si>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</si>
  <si>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</si>
  <si>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</si>
  <si>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</si>
  <si>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</si>
  <si>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</si>
  <si>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</si>
  <si>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</si>
  <si>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</si>
  <si>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</si>
  <si>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</si>
  <si>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</si>
  <si>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</si>
  <si>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</si>
  <si>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</si>
  <si>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</si>
  <si>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</si>
  <si>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</si>
  <si>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</si>
  <si>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</si>
  <si>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</si>
  <si>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</si>
  <si>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</si>
  <si>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</si>
  <si>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</si>
  <si>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</si>
  <si>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</si>
  <si>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</si>
  <si>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</si>
  <si>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</si>
  <si>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</si>
  <si>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</si>
  <si>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</si>
  <si>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</si>
  <si>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</si>
  <si>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</si>
  <si>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</si>
  <si>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</si>
  <si>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</si>
  <si>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</si>
  <si>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</si>
  <si>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</si>
  <si>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</si>
  <si>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</si>
  <si>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</si>
  <si>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</si>
  <si>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</si>
  <si>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</si>
  <si>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</si>
  <si>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</si>
  <si>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</si>
  <si>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</si>
  <si>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</si>
  <si>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</si>
  <si>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</si>
  <si>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</si>
  <si>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</si>
  <si>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</si>
  <si>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</si>
  <si>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</si>
  <si>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</si>
  <si>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</si>
  <si>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</si>
  <si>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</si>
  <si>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</si>
  <si>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</si>
  <si>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</si>
  <si>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</si>
  <si>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</si>
  <si>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</si>
  <si>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</si>
  <si>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</si>
  <si>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</si>
  <si>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</si>
  <si>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</si>
  <si>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</si>
  <si>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</si>
  <si>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</si>
  <si>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</si>
  <si>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</si>
  <si>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</si>
  <si>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</si>
  <si>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</si>
  <si>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</si>
  <si>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</si>
  <si>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</si>
  <si>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</si>
  <si>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</si>
  <si>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</si>
  <si>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</si>
  <si>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</si>
  <si>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</si>
  <si>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</si>
  <si>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</si>
  <si>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</si>
  <si>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</si>
  <si>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</si>
  <si>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</si>
  <si>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</si>
  <si>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</si>
  <si>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</si>
  <si>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</si>
  <si>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</si>
  <si>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</si>
  <si>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</si>
  <si>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</si>
  <si>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</si>
  <si>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</si>
  <si>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</si>
  <si>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</si>
  <si>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</si>
  <si>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</si>
  <si>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</si>
  <si>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</si>
  <si>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</si>
  <si>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</si>
  <si>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</si>
  <si>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</si>
  <si>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</si>
  <si>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</si>
  <si>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</si>
  <si>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</si>
  <si>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</si>
  <si>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</si>
  <si>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</si>
  <si>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</si>
  <si>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</si>
  <si>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</si>
  <si>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</si>
  <si>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</si>
  <si>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</si>
  <si>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</si>
  <si>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</si>
  <si>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</si>
  <si>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</si>
  <si>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</si>
  <si>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</si>
  <si>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</si>
  <si>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</si>
  <si>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</si>
  <si>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</si>
  <si>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</si>
  <si>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</si>
  <si>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</si>
  <si>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</si>
  <si>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</si>
  <si>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</si>
  <si>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</si>
  <si>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</si>
  <si>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</si>
  <si>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</si>
  <si>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</si>
  <si>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</si>
  <si>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</si>
  <si>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</si>
  <si>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</si>
  <si>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</si>
  <si>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</si>
  <si>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</si>
  <si>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</si>
  <si>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</si>
  <si>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</si>
  <si>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</si>
  <si>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</si>
  <si>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</si>
  <si>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</si>
  <si>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</si>
  <si>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</si>
  <si>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</si>
  <si>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</si>
  <si>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</si>
  <si>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</si>
  <si>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</si>
  <si>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</si>
  <si>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</si>
  <si>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</si>
  <si>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</si>
  <si>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</si>
  <si>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</si>
  <si>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</si>
  <si>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</si>
  <si>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</si>
  <si>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</si>
  <si>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</si>
  <si>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</si>
  <si>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</si>
  <si>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</si>
  <si>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</si>
  <si>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</si>
  <si>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</si>
  <si>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</si>
  <si>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</si>
  <si>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</si>
  <si>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</si>
  <si>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</si>
  <si>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</si>
  <si>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</si>
  <si>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</si>
  <si>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</si>
  <si>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</si>
  <si>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</si>
  <si>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</si>
  <si>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</si>
  <si>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</si>
  <si>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</si>
  <si>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</si>
  <si>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</si>
  <si>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</si>
  <si>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</si>
  <si>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</si>
  <si>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</si>
  <si>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</si>
  <si>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</si>
  <si>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</si>
  <si>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</si>
  <si>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</si>
  <si>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</si>
  <si>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</si>
  <si>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</si>
  <si>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</si>
  <si>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</si>
  <si>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</si>
  <si>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</si>
  <si>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</si>
  <si>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</si>
  <si>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</si>
  <si>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</si>
  <si>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</si>
  <si>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</si>
  <si>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</si>
  <si>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</si>
  <si>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</si>
  <si>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</si>
  <si>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</si>
  <si>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</si>
  <si>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</si>
  <si>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</si>
  <si>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</si>
  <si>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</si>
  <si>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</si>
  <si>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</si>
  <si>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</si>
  <si>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</si>
  <si>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</si>
  <si>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</si>
  <si>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</si>
  <si>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</si>
  <si>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</si>
  <si>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</si>
  <si>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</si>
  <si>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</si>
  <si>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</si>
  <si>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</si>
  <si>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</si>
  <si>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</si>
  <si>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</si>
  <si>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</si>
  <si>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</si>
  <si>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</si>
  <si>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</si>
  <si>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</si>
  <si>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</si>
  <si>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</si>
  <si>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</si>
  <si>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</si>
  <si>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</si>
  <si>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</si>
  <si>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</si>
  <si>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</si>
  <si>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</si>
  <si>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</si>
  <si>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</si>
  <si>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</si>
  <si>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</si>
  <si>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</si>
  <si>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</si>
  <si>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</si>
  <si>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</si>
  <si>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</si>
  <si>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</si>
  <si>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</si>
  <si>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</si>
  <si>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</si>
  <si>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</si>
  <si>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</si>
  <si>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</si>
  <si>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</si>
  <si>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</si>
  <si>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</si>
  <si>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</si>
  <si>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</si>
  <si>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</si>
  <si>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</si>
  <si>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</si>
  <si>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</si>
  <si>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</si>
  <si>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</si>
  <si>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</si>
  <si>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</si>
  <si>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</si>
  <si>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</si>
  <si>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</si>
  <si>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</si>
  <si>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</si>
  <si>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</si>
  <si>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</si>
  <si>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</si>
  <si>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</si>
  <si>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</si>
  <si>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</si>
  <si>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</si>
  <si>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</si>
  <si>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</si>
  <si>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</si>
  <si>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</si>
  <si>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</si>
  <si>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</si>
  <si>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</si>
  <si>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</si>
  <si>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</si>
  <si>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</si>
  <si>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</si>
  <si>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</si>
  <si>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</si>
  <si>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</si>
  <si>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</si>
  <si>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</si>
  <si>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</si>
  <si>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</si>
  <si>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</si>
  <si>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</si>
  <si>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</si>
  <si>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</si>
  <si>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</si>
  <si>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</si>
  <si>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</si>
  <si>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</si>
  <si>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</si>
  <si>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</si>
  <si>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</si>
  <si>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</si>
  <si>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</si>
  <si>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</si>
  <si>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</si>
  <si>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</si>
  <si>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</si>
  <si>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</si>
  <si>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</si>
  <si>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</si>
  <si>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</si>
  <si>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</si>
  <si>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</si>
  <si>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</si>
  <si>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</si>
  <si>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</si>
  <si>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</si>
  <si>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</si>
  <si>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</si>
  <si>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</si>
  <si>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</si>
  <si>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</si>
  <si>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</si>
  <si>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</si>
  <si>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</si>
  <si>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</si>
  <si>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</si>
  <si>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</si>
  <si>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</si>
  <si>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</si>
  <si>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</si>
  <si>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</si>
  <si>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</si>
  <si>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</si>
  <si>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</si>
  <si>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</si>
  <si>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</si>
  <si>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</si>
  <si>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</si>
  <si>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</si>
  <si>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</si>
  <si>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</si>
  <si>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</si>
  <si>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</si>
  <si>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</si>
  <si>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</si>
  <si>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</si>
  <si>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</si>
  <si>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</si>
  <si>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</si>
  <si>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</si>
  <si>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</si>
  <si>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</si>
  <si>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</si>
  <si>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</si>
  <si>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</si>
  <si>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</si>
  <si>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</si>
  <si>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</si>
  <si>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</si>
  <si>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</si>
  <si>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</si>
  <si>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</si>
  <si>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</si>
  <si>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</si>
  <si>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</si>
  <si>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</si>
  <si>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</si>
  <si>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</si>
  <si>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</si>
  <si>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</si>
  <si>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</si>
  <si>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</si>
  <si>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</si>
  <si>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</si>
  <si>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</si>
  <si>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</si>
  <si>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</si>
  <si>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</si>
  <si>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</si>
  <si>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</si>
  <si>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</si>
  <si>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</si>
  <si>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</si>
  <si>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</si>
  <si>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</si>
  <si>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</si>
  <si>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</si>
  <si>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</si>
  <si>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</si>
  <si>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</si>
  <si>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</si>
  <si>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</si>
  <si>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</si>
  <si>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</si>
  <si>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</si>
  <si>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</si>
  <si>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</si>
  <si>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</si>
  <si>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</si>
  <si>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</si>
  <si>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</si>
  <si>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</si>
  <si>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</si>
  <si>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</si>
  <si>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</si>
  <si>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</si>
  <si>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</si>
  <si>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</si>
  <si>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</si>
  <si>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</si>
  <si>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</si>
  <si>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</si>
  <si>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</si>
  <si>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</si>
  <si>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</si>
  <si>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</si>
  <si>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</si>
  <si>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</si>
  <si>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</si>
  <si>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</si>
  <si>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</si>
  <si>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</si>
  <si>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</si>
  <si>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</si>
  <si>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</si>
  <si>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</si>
  <si>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</si>
  <si>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</si>
  <si>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</si>
  <si>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</si>
  <si>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</si>
  <si>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</si>
  <si>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</si>
  <si>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</si>
  <si>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</si>
  <si>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</si>
  <si>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</si>
  <si>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</si>
  <si>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</si>
  <si>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</si>
  <si>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</si>
  <si>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</si>
  <si>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</si>
  <si>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</si>
  <si>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</si>
  <si>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</si>
  <si>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</si>
  <si>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</si>
  <si>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</si>
  <si>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</si>
  <si>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</si>
  <si>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</si>
  <si>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</si>
  <si>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</si>
  <si>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</si>
  <si>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</si>
  <si>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</si>
  <si>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</si>
  <si>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</si>
  <si>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</si>
  <si>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</si>
  <si>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</si>
  <si>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</si>
  <si>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</si>
  <si>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</si>
  <si>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</si>
  <si>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</si>
  <si>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</si>
  <si>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</si>
  <si>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</si>
  <si>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</si>
  <si>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</si>
  <si>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</si>
  <si>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</si>
  <si>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</si>
  <si>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</si>
  <si>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</si>
  <si>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</si>
  <si>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</si>
  <si>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</si>
  <si>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</si>
  <si>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</si>
  <si>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</si>
  <si>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</si>
  <si>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</si>
  <si>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</si>
  <si>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</si>
  <si>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</si>
  <si>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</si>
  <si>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</si>
  <si>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</si>
  <si>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</si>
  <si>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</si>
  <si>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</si>
  <si>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</si>
  <si>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</si>
  <si>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</si>
  <si>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</si>
  <si>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</si>
  <si>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</si>
  <si>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</si>
  <si>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</si>
  <si>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</si>
  <si>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</si>
  <si>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</si>
  <si>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</si>
  <si>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</si>
  <si>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</si>
  <si>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</si>
  <si>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</si>
  <si>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</si>
  <si>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</si>
  <si>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</si>
  <si>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</si>
  <si>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</si>
  <si>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</si>
  <si>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</si>
  <si>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</si>
  <si>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</si>
  <si>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</si>
  <si>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</si>
  <si>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</si>
  <si>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</si>
  <si>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</si>
  <si>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</si>
  <si>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</si>
  <si>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</si>
  <si>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</si>
  <si>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</si>
  <si>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</si>
  <si>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</si>
  <si>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</si>
  <si>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</si>
  <si>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</si>
  <si>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</si>
  <si>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</si>
  <si>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</si>
  <si>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</si>
  <si>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</si>
  <si>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</si>
  <si>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</si>
  <si>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</si>
  <si>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</si>
  <si>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</si>
  <si>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</si>
  <si>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</si>
  <si>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</si>
  <si>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</si>
  <si>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</si>
  <si>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</si>
  <si>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</si>
  <si>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</si>
  <si>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</si>
  <si>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</si>
  <si>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</si>
  <si>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</si>
  <si>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</si>
  <si>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</si>
  <si>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</si>
  <si>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</si>
  <si>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</si>
  <si>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</si>
  <si>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</si>
  <si>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</si>
  <si>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</si>
  <si>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</si>
  <si>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</si>
  <si>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</si>
  <si>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</si>
  <si>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</si>
  <si>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</si>
  <si>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</si>
  <si>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</si>
  <si>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</si>
  <si>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</si>
  <si>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</si>
  <si>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</si>
  <si>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</si>
  <si>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</si>
  <si>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</si>
  <si>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</si>
  <si>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</si>
  <si>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</si>
  <si>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</si>
  <si>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</si>
  <si>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</si>
  <si>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</si>
  <si>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</si>
  <si>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</si>
  <si>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</si>
  <si>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</si>
  <si>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</si>
  <si>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</si>
  <si>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</si>
  <si>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</si>
  <si>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</si>
  <si>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</si>
  <si>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</si>
  <si>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</si>
  <si>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</si>
  <si>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</si>
  <si>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</si>
  <si>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</si>
  <si>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</si>
  <si>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</si>
  <si>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</si>
  <si>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</si>
  <si>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</si>
  <si>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</si>
  <si>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</si>
  <si>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</si>
  <si>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</si>
  <si>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</si>
  <si>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</si>
  <si>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</si>
  <si>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</si>
  <si>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</si>
  <si>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</si>
  <si>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</si>
  <si>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</si>
  <si>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</si>
  <si>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</si>
  <si>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</si>
  <si>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</si>
  <si>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</si>
  <si>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</si>
  <si>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</si>
  <si>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</si>
  <si>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</si>
  <si>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</si>
  <si>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</si>
  <si>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</si>
  <si>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</si>
  <si>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</si>
  <si>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</si>
  <si>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</si>
  <si>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</si>
  <si>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</si>
  <si>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</si>
  <si>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</si>
  <si>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</si>
  <si>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</si>
  <si>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</si>
  <si>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</si>
  <si>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</si>
  <si>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</si>
  <si>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</si>
  <si>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</si>
  <si>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</si>
  <si>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</si>
  <si>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</si>
  <si>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</si>
  <si>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</si>
  <si>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</si>
  <si>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</si>
  <si>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</si>
  <si>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</si>
  <si>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</si>
  <si>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</si>
  <si>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</si>
  <si>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</si>
  <si>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</si>
  <si>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</si>
  <si>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</si>
  <si>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</si>
  <si>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</si>
  <si>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</si>
  <si>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</si>
  <si>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</si>
  <si>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</si>
  <si>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</si>
  <si>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</si>
  <si>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</si>
  <si>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</si>
  <si>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</si>
  <si>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</si>
  <si>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</si>
  <si>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</si>
  <si>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</si>
  <si>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</si>
  <si>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</si>
  <si>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</si>
  <si>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</si>
  <si>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</si>
  <si>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</si>
  <si>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</si>
  <si>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</si>
  <si>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</si>
  <si>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</si>
  <si>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</si>
  <si>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</si>
  <si>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</si>
  <si>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</si>
  <si>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</si>
  <si>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</si>
  <si>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</si>
  <si>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</si>
  <si>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</si>
  <si>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</si>
  <si>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</si>
  <si>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</si>
  <si>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</si>
  <si>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</si>
  <si>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</si>
  <si>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</si>
  <si>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</si>
  <si>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</si>
  <si>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</si>
  <si>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</si>
  <si>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</si>
  <si>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</si>
  <si>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</si>
  <si>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</si>
  <si>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</si>
  <si>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</si>
  <si>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</si>
  <si>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</si>
  <si>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</si>
  <si>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</si>
  <si>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</si>
  <si>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</si>
  <si>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</si>
  <si>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</si>
  <si>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</si>
  <si>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</si>
  <si>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</si>
  <si>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</si>
  <si>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</si>
  <si>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</si>
  <si>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</si>
  <si>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</si>
  <si>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</si>
  <si>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</si>
  <si>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</si>
  <si>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</si>
  <si>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</si>
  <si>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</si>
  <si>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</si>
  <si>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</si>
  <si>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</si>
  <si>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</si>
  <si>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</si>
  <si>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</si>
  <si>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</si>
  <si>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</si>
  <si>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</si>
  <si>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</si>
  <si>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</si>
  <si>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</si>
  <si>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</si>
  <si>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</si>
  <si>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</si>
  <si>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</si>
  <si>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</si>
  <si>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</si>
  <si>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</si>
  <si>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</si>
  <si>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</si>
  <si>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</si>
  <si>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</si>
  <si>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</si>
  <si>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</si>
  <si>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</si>
  <si>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</si>
  <si>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</si>
  <si>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</si>
  <si>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</si>
  <si>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</si>
  <si>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</si>
  <si>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</si>
  <si>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</si>
  <si>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</si>
  <si>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</si>
  <si>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</si>
  <si>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</si>
  <si>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</si>
  <si>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</si>
  <si>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</si>
  <si>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</si>
  <si>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</si>
  <si>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</si>
  <si>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</si>
  <si>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</si>
  <si>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</si>
  <si>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</si>
  <si>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</si>
  <si>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</si>
  <si>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</si>
  <si>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</si>
  <si>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</si>
  <si>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</si>
  <si>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</si>
  <si>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</si>
  <si>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</si>
  <si>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</si>
  <si>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</si>
  <si>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</si>
  <si>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</si>
  <si>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</si>
  <si>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</si>
  <si>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</si>
  <si>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</si>
  <si>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</si>
  <si>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</si>
  <si>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</si>
  <si>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</si>
  <si>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</si>
  <si>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</si>
  <si>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</si>
  <si>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</si>
  <si>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</si>
  <si>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</si>
  <si>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</si>
  <si>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</si>
  <si>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</si>
  <si>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</si>
  <si>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</si>
  <si>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</si>
  <si>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</si>
  <si>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</si>
  <si>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</si>
  <si>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</si>
  <si>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</si>
  <si>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</si>
  <si>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</si>
  <si>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</si>
  <si>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</si>
  <si>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</si>
  <si>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</si>
  <si>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</si>
  <si>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</si>
  <si>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</si>
  <si>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</si>
  <si>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</si>
  <si>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</si>
  <si>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</si>
  <si>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</si>
  <si>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</si>
  <si>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</si>
  <si>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</si>
  <si>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</si>
  <si>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</si>
  <si>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</si>
  <si>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</si>
  <si>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</si>
  <si>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</si>
  <si>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</si>
  <si>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</si>
  <si>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</si>
  <si>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</si>
  <si>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</si>
  <si>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</si>
  <si>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</si>
  <si>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</si>
  <si>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</si>
  <si>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</si>
  <si>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</si>
  <si>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</si>
  <si>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</si>
  <si>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</si>
  <si>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</si>
  <si>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</si>
  <si>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</si>
  <si>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</si>
  <si>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</si>
  <si>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</si>
  <si>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</si>
  <si>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</si>
  <si>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</si>
  <si>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</si>
  <si>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</si>
  <si>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</si>
  <si>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</si>
  <si>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</si>
  <si>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</si>
  <si>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</si>
  <si>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</si>
  <si>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</si>
  <si>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</si>
  <si>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</si>
  <si>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</si>
  <si>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</si>
  <si>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</si>
  <si>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</si>
  <si>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</si>
  <si>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</si>
  <si>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</si>
  <si>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</si>
  <si>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</si>
  <si>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</si>
  <si>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</si>
  <si>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</si>
  <si>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</si>
  <si>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</si>
  <si>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</si>
  <si>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</si>
  <si>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</si>
  <si>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</si>
  <si>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</si>
  <si>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</si>
  <si>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</si>
  <si>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</si>
  <si>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</si>
  <si>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</si>
  <si>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</si>
  <si>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</si>
  <si>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</si>
  <si>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</si>
  <si>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</si>
  <si>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</si>
  <si>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</si>
  <si>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</si>
  <si>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</si>
  <si>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</si>
  <si>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</si>
  <si>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</si>
  <si>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</si>
  <si>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</si>
  <si>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</si>
  <si>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</si>
  <si>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</si>
  <si>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</si>
  <si>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</si>
  <si>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</si>
  <si>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</si>
  <si>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</si>
  <si>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</si>
  <si>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</si>
  <si>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</si>
  <si>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</si>
  <si>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</si>
  <si>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</si>
  <si>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</si>
  <si>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</si>
  <si>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</si>
  <si>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</si>
  <si>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</si>
  <si>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</si>
  <si>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</si>
  <si>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</si>
  <si>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</si>
  <si>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</si>
  <si>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</si>
  <si>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</si>
  <si>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</si>
  <si>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</si>
  <si>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</si>
  <si>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</si>
  <si>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</si>
  <si>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</si>
  <si>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</si>
  <si>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</si>
  <si>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</si>
  <si>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</si>
  <si>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</si>
  <si>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</si>
  <si>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</si>
  <si>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</si>
  <si>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</si>
  <si>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</si>
  <si>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</si>
  <si>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</si>
  <si>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</si>
  <si>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</si>
  <si>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</si>
  <si>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</si>
  <si>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</si>
  <si>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Codrean Cosmin</t>
  </si>
  <si>
    <t>Şerban Viorel Aurel, Răduţă Aurel, Codrean Cosmin, Uţu Ion Dragoş, Opriş Carmen</t>
  </si>
  <si>
    <t>Materiale şi tehnologii primare în experimente, ediţia a 5-a</t>
  </si>
  <si>
    <t>978-606-35-0318-4</t>
  </si>
  <si>
    <t>Codrean Cosmin, Ion Dragoș Uțu, Dragoș Buzdugan, Viorel-Aurel Șerban</t>
  </si>
  <si>
    <t>Materiale metalice avansate - Aplicații practice</t>
  </si>
  <si>
    <t>978-606-554-843-5</t>
  </si>
  <si>
    <t>Materiale speciale pentru autovehicule</t>
  </si>
  <si>
    <t>UTILIZAREA TEHNICILOR ULTRASONICE PENTRU
SUDAREA MATERIALELOR POLIMERICE SI
POLIMERICE COMPOZITE</t>
  </si>
  <si>
    <t>SUDAREA CU ULTRASUNETE A BENZILOR DE
CUPRU</t>
  </si>
  <si>
    <t>STUDIU COMPARATIV INTRE CABLURI
INCALZITOARE CONVENTIONALE SI CABLURI
INCALZITOARE CU FIBRE DE CARBON</t>
  </si>
  <si>
    <t>Analiza calității unor îmbinări sudate în medii de gaze protectoare</t>
  </si>
  <si>
    <t>Fiț Răzvan, Ianăși Petrișor</t>
  </si>
  <si>
    <t>Zincarea termică. Studiu de caz</t>
  </si>
  <si>
    <t>Rusu Mihaela</t>
  </si>
  <si>
    <t>Rezistențe electrice realizate din aliaje amorfe</t>
  </si>
  <si>
    <t>Drăgănescu-Anghel Dragoș</t>
  </si>
  <si>
    <t>Studiu privind obținerea și prelucrarea profilelor extrudate din aliaje de aluminiu</t>
  </si>
  <si>
    <t>Parvan Narcis</t>
  </si>
  <si>
    <t>Sudarea aliajelor amorfe sub formă de benzi</t>
  </si>
  <si>
    <t>Cruceru Bogdan</t>
  </si>
  <si>
    <t>Echipamentși tehnologie de obținere a unei lame de bisturiu din aliaj amorf masiv</t>
  </si>
  <si>
    <t>Cadariu Paul</t>
  </si>
  <si>
    <t>Obținerea aliajelor feromagnetice nanocristaline masive prin devitrifierea fazei amorfe</t>
  </si>
  <si>
    <t>Găvăgină Marinela</t>
  </si>
  <si>
    <t>Studiul comportării la încălzire a aliajelor amorfe pe bază de aluminiu</t>
  </si>
  <si>
    <t>Banu Dănuț, Șurpanu Remus</t>
  </si>
  <si>
    <t>Noi aliaje de lipire a componentelor electronice pe bază de Sn</t>
  </si>
  <si>
    <t>Mereu George</t>
  </si>
  <si>
    <t>Dispozitiv pentru brazarea prin inducție cu aliaj de brazare amorf a pieselor din cupru</t>
  </si>
  <si>
    <t>Cojocaru Constantin</t>
  </si>
  <si>
    <t>Studii și cercetări privind încercarea la tracțiune a aliajelor amorfe pe bază de Ni elaborate sub formă de benzi</t>
  </si>
  <si>
    <t>Iurcu Ciprian</t>
  </si>
  <si>
    <t>Matriță pentru turnarea unei piese din aliaje amorfe masive</t>
  </si>
  <si>
    <t>Dop Andrei</t>
  </si>
  <si>
    <t>Studiuldfectelor ce apar la turnarea armăturii volanelor de la autoturisme</t>
  </si>
  <si>
    <t>Brătuianu Maria</t>
  </si>
  <si>
    <t>aliaje amorfe pentru brazarea electrică prin rezistență a plăcuțelor ceramice pentru scule așchietoare</t>
  </si>
  <si>
    <t>Lucaci Nicolae</t>
  </si>
  <si>
    <t>Studiu privind prelucrările mecanice ale rolelor din aluminiu</t>
  </si>
  <si>
    <t>Bolojan Andrei</t>
  </si>
  <si>
    <t>Cristalizarea aliajelor amorfe din familia Ni-Cr-Fe-Mo-Si-B</t>
  </si>
  <si>
    <t>Barany Alexandru</t>
  </si>
  <si>
    <t>Oprea Daniel</t>
  </si>
  <si>
    <t>Niculai Darius</t>
  </si>
  <si>
    <t>Munteanu Marius-Florinel</t>
  </si>
  <si>
    <t>Activitate de modernizare laborator de tratamente termice</t>
  </si>
  <si>
    <t>Copper Based Bulk Metallic Glasses for Medical Devices</t>
  </si>
  <si>
    <t xml:space="preserve">Opris C, Codrean Cosmin, Buzdugan D, Hididis P </t>
  </si>
  <si>
    <t>MATERIALE PLASTICE, Volume: 56 Issue: 4 Pages: 700-704</t>
  </si>
  <si>
    <t>Composite Materials Fabricated of Amorphous and Nanocrystalline Metallic Powders</t>
  </si>
  <si>
    <t>MATERIALE PLASTICE, 
Volume: 56 Issue: 4 Pages: 744-749</t>
  </si>
  <si>
    <t>Codrean Cosmin, Cosma C, Tosa D, Buzdugan D, Dume AI</t>
  </si>
  <si>
    <t>Compressive properties of zinc syntactic foams at elevated temperatures</t>
  </si>
  <si>
    <t>Linul E, Lell D, Movahedi N, Codrean Cosmin, Fiedler T</t>
  </si>
  <si>
    <t>COMPOSITES PART B-ENGINEERING, 
Volume: 167 Pages: 122-134</t>
  </si>
  <si>
    <t xml:space="preserve">Voda M, Codrean Cosmin, Chicot D, Serban VA, Utu D, Linul E, Buzdugan D </t>
  </si>
  <si>
    <t>Characterization of brazed joints by electrical resistance spot brazing with Ni-based amorphous self-flux alloys</t>
  </si>
  <si>
    <t>JOURNAL OF MANUFACTURING PROCESSES 
Volume: 37  Pages: 617-627</t>
  </si>
  <si>
    <t>Research on Welding with Electron Beam of Ni Based
Amorphous Ribbons</t>
  </si>
  <si>
    <t>Nicolaescu Mircea, Codrean Cosmin, Stutz Markus, Sîrbu Nicușor-Alin, Serban Viorel-Aurel</t>
  </si>
  <si>
    <t>Advanced Materials Research, Vol. 1153, pp 108-112</t>
  </si>
  <si>
    <t>Vișan G, Codrean Cosmin, Buzdugan D</t>
  </si>
  <si>
    <t>Study on defects which appear in the casting  of steering wheel armature</t>
  </si>
  <si>
    <t>Scientific Buletin of the Politehnica University of Timisoara, TRANSACTIONS ON MECHANICS, Vol.  60 (74), Issue  2, 5-10</t>
  </si>
  <si>
    <t xml:space="preserve">Tosa DJ, Serban VA, Codrean Cosmin, Buzdugan D, Stoica M </t>
  </si>
  <si>
    <t>Dual phase bulk metallic glasses fabricated by hot pressing using two different types of glassy alloy powder</t>
  </si>
  <si>
    <t xml:space="preserve">Journal of Optoelectronics and Advanced Materials
Volume: 17  Issue: 7-8, 1026-1031   </t>
  </si>
  <si>
    <t xml:space="preserve">Gherasim G, Thalmaier G,  Sechel N, Suta S, Vida-Simiti I, Neamtu B,  Codrean Cosmin </t>
  </si>
  <si>
    <t>Researches on obtaining sintered Al80Fe10Ti10 foams</t>
  </si>
  <si>
    <t>ACTA TECHNICA NAPOCENSIS SERIES-APPLIED MATHEMATICS MECHANICS AND ENGINEERING, 58 (4 ),   585-590</t>
  </si>
  <si>
    <t>Buzdugan D, Barany C, Bolojan A, Codrean Cosmin</t>
  </si>
  <si>
    <t>Crystallization behaviour of amorphous alloys from Fe-Ni-Cr-Mo-Si-B system</t>
  </si>
  <si>
    <t>Scientific Buletin of the Politehnica University of Timisoara, TRANSACTIONS ON MECHANICS, Vol.  58 (72), Issue  1, 7-10</t>
  </si>
  <si>
    <t>Codrean Cosmin,  Buzdugan D,  Radu B,  Șerban VA</t>
  </si>
  <si>
    <t>Induction brazing of copper parts using amorphous brazing alloys</t>
  </si>
  <si>
    <t>Materials Science Forum
Volume 907 MSF, 206-213</t>
  </si>
  <si>
    <t>Buzdugan D, Codrean Cosmin,  Şerban VA</t>
  </si>
  <si>
    <t>Modelling of resistance brazing process using factorial design</t>
  </si>
  <si>
    <t>Solid State Phenomena
Volume 254, 212-217</t>
  </si>
  <si>
    <t>Radu B, Codrean Cosmin,  Cojocaru R,  Ciuca C</t>
  </si>
  <si>
    <t>Numerical modeling of thermal field distribution during friction stir welding (FSW) of dissimilar materials</t>
  </si>
  <si>
    <t>Solid State Phenomena
Volume 254, 261-266</t>
  </si>
  <si>
    <t>Radu B, Buzdugan D,  Codrean Cosmin, Şerban VA,  George V</t>
  </si>
  <si>
    <t>Numerical model of thermal field developed in Fe67Cr4Mo4Ga4P12B5C4 bulk amorphous alloy processing</t>
  </si>
  <si>
    <t>Solid State Phenomena
Volume 254, 249-254</t>
  </si>
  <si>
    <t>Kazamer N,  Pascal DT,  Marginean G,  Serban VA,  Codrean Cosmin,  Utu ID</t>
  </si>
  <si>
    <t>A comparison between hardness, corrosion and wear performance of APS sprayed Wc-CoMo Wc-Co coatings</t>
  </si>
  <si>
    <t>Solid State Phenomena
Volume 254, 71-76</t>
  </si>
  <si>
    <t>Magda AV,  Codrean Cosmin</t>
  </si>
  <si>
    <t>Corrosion resistance testing of the galvanized sheet metal braze welding joints</t>
  </si>
  <si>
    <t xml:space="preserve">Key Engineering Materials, Volume 627, 189-192 </t>
  </si>
  <si>
    <t>Obtaining of bulk amorphous steel with low carbon content using industrial ferroalloys</t>
  </si>
  <si>
    <t>Codrean Cosmin, Buzdugan D, Opris C, Hididis Petru, Serban VA</t>
  </si>
  <si>
    <t>11th International Conference on Materials Science and Engineering (BraMat), Brasov, Romania, MATERIALS TODAY-PROCEEDINGS   Volume: 19   Pages: 991-995</t>
  </si>
  <si>
    <t>Effect of some heat treatments on cavitation erosion resistance of the En AW - 6082 alloy</t>
  </si>
  <si>
    <t>Franț F, Mitelea I, Bordeaşu I, Codrean Cosmin, Mutașcu D</t>
  </si>
  <si>
    <t>METAL 2019 - 28th International Conference on Metallurgy and Materials, Conference Proceedings
2019, Pages 663-667</t>
  </si>
  <si>
    <t>Codrean Cosmin, Radu B, Buzdugan D, Opriş C</t>
  </si>
  <si>
    <t>Simulation of Thermal Field in Bulk Amorphous Steels</t>
  </si>
  <si>
    <t>7th International Conference on Advanced Materials and Structures, AMS 2018, IOP Conference Series: Materials Science and Engineering
416(1),012021</t>
  </si>
  <si>
    <t>Vodǎ M, Codrean Cosmin, Tosa D, Serban VA</t>
  </si>
  <si>
    <t>Mechanical Properties of Fe/Zr Dual Amorphous Phase Bulk Metallic Glasses</t>
  </si>
  <si>
    <t>7th International Conference on Advanced Materials and Structures, AMS 2018, IOP Conference Series: Materials Science and Engineering
416(1),012020</t>
  </si>
  <si>
    <t>Dogar Cutean ES, Mitelea I, Serban VA, Codrean Cosmin</t>
  </si>
  <si>
    <t>Scratch test and adhesion properties of titanium coatings deposited by TIG</t>
  </si>
  <si>
    <t>Structural Integrity of Welded Structures XI (ISCS 15), Timisoara, 1-6</t>
  </si>
  <si>
    <t>Codrean Cosmin, Magda A, Burca M, Buzdugan D</t>
  </si>
  <si>
    <t>Advanced metallic materials with amorphous structure used for resistance brazed joints</t>
  </si>
  <si>
    <t>Structural Integrity of Welded Structures XI (ISCS 15), Timisoara, 37-42</t>
  </si>
  <si>
    <t xml:space="preserve">Laza Ioan, Serban Viorel-Aurel, Marinela Solomon, Francisc POPESCU, Virgil STOICA, Levente BARNA , Gavril BRĂTEANU, Dorin LELEA, Adrian‐Eugen CIOABLĂ ,  Ion VETREŞ,  Utu Dragos, Codrean Cosmin, Buzdugan Dragos, Luisa Izabel DUNGAN, Gavrilă TRIF‐TORDAI </t>
  </si>
  <si>
    <t>RORS-462-AEPS, Nr.106354/2019</t>
  </si>
  <si>
    <t>Academic Environmental Protection Studies on surface water quality in significant cross-border nature
reservations Djerdap / Iron Gate national park and Carska Bara special nature reserve, with population awareness
raising workshops</t>
  </si>
  <si>
    <t>Utu Ion Dragos, Șerban Viorel-Aurel, Codrean Cosmin, Opris Carmen, Hulka Iosif</t>
  </si>
  <si>
    <t>Imbunatatirea rezistentei la uzare a titanului prin retopirea cu fascicul de
electroni a straturilor depuse prin pulverizare termica</t>
  </si>
  <si>
    <t>IDEI</t>
  </si>
  <si>
    <t>11 / 30.08.2013</t>
  </si>
  <si>
    <t>Radu Bogdan, Codrean Cosmin, Carmen Opriș, Buzdugan Dragoș, Hulka Iosif</t>
  </si>
  <si>
    <t>Tehnologii inovative, ecologice şi
eficiente de îmbinare a materialelor
metalice şi polimerice folosite în
industria de automobile, utilizând
tehnica de sudare prin frecare cu
element activ rotitor</t>
  </si>
  <si>
    <t>Parteneriate</t>
  </si>
  <si>
    <t>219 / 2014
INOVA-FSW</t>
  </si>
  <si>
    <t>Experiza tehnica - teava de la sistem
de incalzire casnic.</t>
  </si>
  <si>
    <t>CDICE</t>
  </si>
  <si>
    <t>31/20.03.2015</t>
  </si>
  <si>
    <t>Testari
si investigatii asupra
componentelor metalice de la
centurile de siguranta ale
autovehiculelor</t>
  </si>
  <si>
    <t>79/2016</t>
  </si>
  <si>
    <t>Cunoștințe de bază privind materialele ceramice și compozite</t>
  </si>
  <si>
    <t>CEP</t>
  </si>
  <si>
    <t>23/2016</t>
  </si>
  <si>
    <t>Codrean Cosmin, Soveja Lazar, Opris Carmen, Moga-Modrea Elvira, Uțu Dragos, Buzdugan Dragoș</t>
  </si>
  <si>
    <t>Studii și cercetări asupra calității produselor din producția curentă a Gammet 2000 SRL</t>
  </si>
  <si>
    <t>32/05.04.2017</t>
  </si>
  <si>
    <t>Investigatii asupra componentelor
metalice de la centurile de siguranta
ale autovehiculelor.</t>
  </si>
  <si>
    <t>111/12.12.2017</t>
  </si>
  <si>
    <t>Codrean Cosmin,  Opris Carmen, Uțu Dragos, Buzdugan Dragoș, Dume Adrian, Magda Aurelian</t>
  </si>
  <si>
    <t>Proiectare și dezvoltare sisteme tehnice ale mașinilor pentru prelucrare lemn în industria alimentară</t>
  </si>
  <si>
    <t>68/19,07,2018</t>
  </si>
  <si>
    <t>Codrean Cosmin, Opriș Carmen, Buzdugan Dragoș, Hulka Iosif</t>
  </si>
  <si>
    <t>Obținerea și caracterizarea oțelurilor amorfe masive</t>
  </si>
  <si>
    <t>PCD-TC-2017</t>
  </si>
  <si>
    <t>16179/2017</t>
  </si>
  <si>
    <t>Codrean Cosmin, Radu Bogdan, Craiunescu Corneliu, Stan Daniel, Uțu Dragoș, Carmen Opriș, Buzdugan Dragoș</t>
  </si>
  <si>
    <t>Analiza materialelor din procesul de producție</t>
  </si>
  <si>
    <t>116/11,12,2018</t>
  </si>
  <si>
    <t>1358/01.02.2019</t>
  </si>
  <si>
    <t>GNaC2018 - ARUT</t>
  </si>
  <si>
    <t>Obţinerea si caracterizarea aliajelor amorfe masive cu proprietăţi biocompatibile</t>
  </si>
  <si>
    <t>Opriș Carmen, Şerban Viorel-Aurel, Răduţă Aurel, Codrean Cosmin, Buzdugan Dragoş, Uţu Dragoş, Radu Bogdan, Hididiş Petru</t>
  </si>
  <si>
    <t>Silviu SARAOLU</t>
  </si>
  <si>
    <t>Sub îndrumarea comisiei care include Conferențiar Codrean Cosmin</t>
  </si>
  <si>
    <t>Robert CHITAC</t>
  </si>
  <si>
    <t>Vlad BOLOCAN</t>
  </si>
  <si>
    <t>Daniel MUTASCU</t>
  </si>
  <si>
    <t>Florin FRANT</t>
  </si>
  <si>
    <t>Mircea NICOLAESCU</t>
  </si>
  <si>
    <t>Ciprian LUCIAN</t>
  </si>
  <si>
    <t>Cosmin BELIN</t>
  </si>
  <si>
    <t>Andrei NOVAC</t>
  </si>
  <si>
    <t>Roxana SPRINCENATU</t>
  </si>
  <si>
    <t>Gheorghe CHILNICEAN</t>
  </si>
  <si>
    <t>Dinu SIMIONESCU</t>
  </si>
  <si>
    <t>Natanel SIMON</t>
  </si>
  <si>
    <t>Journal of Manufacturing Processes</t>
  </si>
  <si>
    <t>Innovative Technologies for Joining Advanced Materials</t>
  </si>
  <si>
    <t>Applied Thermal Engineering</t>
  </si>
  <si>
    <t>7th International Conference on Advanced and Materials Structures 2018, Timișoara</t>
  </si>
  <si>
    <t xml:space="preserve"> RoPM&amp;AM2017 Conference, Cluj-Napoca</t>
  </si>
  <si>
    <t>12th International Conference Structural Integrity of Welded Structures, Timoșoara</t>
  </si>
  <si>
    <t>International Journal of Modern Physics B</t>
  </si>
  <si>
    <t>6th International Conference on Advanced and Materials Structures 2015, Timișoara</t>
  </si>
  <si>
    <t>Materials &amp;Design</t>
  </si>
  <si>
    <t>7th International Conference on Advanced Materials and Structures, AMS 2018, 28-31 Martie, Timișoara, Romania</t>
  </si>
  <si>
    <t>6th International Conference on Advanced Materials and Structures, AMS 2015; Timişoara; Romania; 16-17 octombrie</t>
  </si>
  <si>
    <t>Membru în Consiliu Departamentului</t>
  </si>
  <si>
    <t>Departamentul IMF</t>
  </si>
  <si>
    <t>Membru în Consiliu Facultății</t>
  </si>
  <si>
    <t>Facultatea de Mecanică</t>
  </si>
  <si>
    <r>
      <rPr>
        <b/>
        <sz val="12"/>
        <color indexed="8"/>
        <rFont val="Calibri"/>
        <family val="2"/>
        <charset val="238"/>
      </rPr>
      <t xml:space="preserve">Codrean Cosmin, </t>
    </r>
    <r>
      <rPr>
        <sz val="12"/>
        <color indexed="8"/>
        <rFont val="Calibri"/>
        <family val="2"/>
        <charset val="238"/>
      </rPr>
      <t>Opriș Carmen, Buzdugan Dragoș</t>
    </r>
  </si>
  <si>
    <r>
      <t xml:space="preserve">Radu Bogdan, Aurel Răduță, Herman Richard, Herișanu Nicolae, </t>
    </r>
    <r>
      <rPr>
        <b/>
        <sz val="12"/>
        <color indexed="8"/>
        <rFont val="Calibri"/>
        <family val="2"/>
        <charset val="238"/>
      </rPr>
      <t>Codrean Cosmin,</t>
    </r>
    <r>
      <rPr>
        <sz val="12"/>
        <color indexed="8"/>
        <rFont val="Calibri"/>
        <family val="2"/>
        <charset val="238"/>
      </rPr>
      <t xml:space="preserve"> Opriș Carmen</t>
    </r>
  </si>
  <si>
    <t>Asociaţiei de Cercetare Multidisciplinară din Zona de Vest a României (ACM-V)</t>
  </si>
  <si>
    <t>Asociaţiei de Sudură din România (ASR)</t>
  </si>
  <si>
    <t>Promovarea specializărilor Știința Materialelor, TCM, Ingineria sudării în licee la absolvenții claselor XI și XII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</si>
</sst>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553</v>
      </c>
    </row>
    <row r="6" spans="1:1" x14ac:dyDescent="0.25">
      <c r="A6" s="94" t="s">
        <v>1013</v>
      </c>
    </row>
    <row r="7" spans="1:1" ht="14.25" customHeight="1" x14ac:dyDescent="0.25">
      <c r="A7" s="94" t="s">
        <v>1014</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D17" sqref="D17"/>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35" t="s">
        <v>654</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ht="36.75" customHeight="1" x14ac:dyDescent="0.25">
      <c r="A5" s="541" t="s">
        <v>656</v>
      </c>
      <c r="B5" s="541"/>
      <c r="C5" s="541"/>
      <c r="D5" s="541"/>
      <c r="E5" s="541"/>
      <c r="F5" s="541"/>
      <c r="G5" s="541"/>
      <c r="H5" s="541"/>
      <c r="I5" s="541"/>
      <c r="J5" s="226"/>
      <c r="K5" s="226"/>
      <c r="L5" s="226"/>
      <c r="M5" s="226"/>
      <c r="N5" s="64"/>
    </row>
    <row r="6" spans="1:16" ht="13.5" customHeight="1" x14ac:dyDescent="0.25">
      <c r="E6" s="64"/>
      <c r="F6" s="64"/>
      <c r="H6" s="64"/>
      <c r="I6" s="301"/>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380"/>
      <c r="C11" s="380"/>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C19" sqref="C1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41" t="s">
        <v>664</v>
      </c>
      <c r="B5" s="541"/>
      <c r="C5" s="541"/>
      <c r="D5" s="541"/>
      <c r="E5" s="541"/>
      <c r="F5" s="541"/>
      <c r="G5" s="541"/>
      <c r="H5" s="541"/>
      <c r="I5" s="541"/>
      <c r="J5" s="226"/>
      <c r="K5" s="226"/>
      <c r="L5" s="226"/>
      <c r="M5" s="226"/>
      <c r="N5" s="64"/>
    </row>
    <row r="6" spans="1:16" ht="13.5" customHeight="1" x14ac:dyDescent="0.25">
      <c r="E6" s="64"/>
      <c r="F6" s="64"/>
      <c r="H6" s="64"/>
      <c r="I6" s="301"/>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D19" sqref="D1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35" t="s">
        <v>669</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6.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C18" sqref="C18"/>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35" t="s">
        <v>668</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E20" sqref="E2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35" t="s">
        <v>667</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E18" sqref="E18"/>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ht="36.75" customHeight="1" x14ac:dyDescent="0.25">
      <c r="A5" s="541" t="s">
        <v>666</v>
      </c>
      <c r="B5" s="541"/>
      <c r="C5" s="541"/>
      <c r="D5" s="541"/>
      <c r="E5" s="541"/>
      <c r="F5" s="541"/>
      <c r="G5" s="541"/>
      <c r="H5" s="541"/>
      <c r="I5" s="541"/>
      <c r="J5" s="226"/>
      <c r="K5" s="226"/>
      <c r="L5" s="226"/>
      <c r="M5" s="226"/>
      <c r="N5" s="64"/>
    </row>
    <row r="6" spans="1:16" ht="13.5" customHeight="1" x14ac:dyDescent="0.25">
      <c r="E6" s="64"/>
      <c r="F6" s="64"/>
      <c r="H6" s="64"/>
      <c r="I6" s="301"/>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E19" sqref="E1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41" t="s">
        <v>665</v>
      </c>
      <c r="B5" s="541"/>
      <c r="C5" s="541"/>
      <c r="D5" s="541"/>
      <c r="E5" s="541"/>
      <c r="F5" s="541"/>
      <c r="G5" s="541"/>
      <c r="H5" s="541"/>
      <c r="I5" s="541"/>
      <c r="J5" s="226"/>
      <c r="K5" s="226"/>
      <c r="L5" s="226"/>
      <c r="M5" s="226"/>
      <c r="N5" s="64"/>
    </row>
    <row r="6" spans="1:16" ht="13.5" customHeight="1" x14ac:dyDescent="0.25">
      <c r="E6" s="64"/>
      <c r="F6" s="64"/>
      <c r="H6" s="64"/>
      <c r="I6" s="301"/>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H15" sqref="H15"/>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35" t="s">
        <v>772</v>
      </c>
      <c r="B5" s="535"/>
      <c r="C5" s="535"/>
      <c r="D5" s="535"/>
      <c r="E5" s="535"/>
      <c r="F5" s="535"/>
      <c r="G5" s="535"/>
      <c r="H5" s="535"/>
      <c r="I5" s="535"/>
      <c r="J5" s="226"/>
      <c r="K5" s="226"/>
      <c r="L5" s="226"/>
      <c r="M5" s="226"/>
      <c r="N5" s="64"/>
    </row>
    <row r="6" spans="1:16" ht="13.5" customHeight="1" x14ac:dyDescent="0.25">
      <c r="E6" s="64"/>
      <c r="F6" s="64"/>
      <c r="H6" s="64"/>
      <c r="I6" s="347" t="str">
        <f>CONCATENATE(functie," ",nume_candidat)</f>
        <v>Conferențiar Codrean Cosmin</v>
      </c>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6.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66"/>
      <c r="H9" s="67"/>
      <c r="I9" s="148">
        <f>SUMIF(I10:I1010,"&gt;0")</f>
        <v>105</v>
      </c>
      <c r="J9" s="148">
        <f t="shared" ref="J9:N9" si="0">SUMIF(J10:J108,"&gt;0")</f>
        <v>420</v>
      </c>
      <c r="K9" s="4">
        <f t="shared" si="0"/>
        <v>2</v>
      </c>
      <c r="L9" s="4">
        <f t="shared" si="0"/>
        <v>2</v>
      </c>
      <c r="M9" s="4">
        <f t="shared" si="0"/>
        <v>105</v>
      </c>
      <c r="N9" s="4">
        <f t="shared" si="0"/>
        <v>105</v>
      </c>
      <c r="O9" s="298"/>
    </row>
    <row r="10" spans="1:16" ht="47.25" x14ac:dyDescent="0.25">
      <c r="A10" s="37">
        <v>1</v>
      </c>
      <c r="B10" s="7" t="s">
        <v>1236</v>
      </c>
      <c r="C10" s="7" t="s">
        <v>1237</v>
      </c>
      <c r="D10" s="7" t="s">
        <v>657</v>
      </c>
      <c r="E10" s="5" t="s">
        <v>1238</v>
      </c>
      <c r="F10" s="220">
        <v>2019</v>
      </c>
      <c r="G10" s="220">
        <v>174</v>
      </c>
      <c r="H10" s="220">
        <v>35</v>
      </c>
      <c r="I10" s="16">
        <f t="shared" ref="I10:I73" si="1">IF(OR($B10="",$C10="",$D10="",$E10="",$F10&lt;an_initial,$F10&gt;an_final,$O10=FALSE),"",IF($H10="",CS23a*$G10/P10,CS23a*$H10))</f>
        <v>35</v>
      </c>
      <c r="J10" s="16">
        <f t="shared" ref="J10:J73" si="2">IF(OR($B10="",$C10="",$D10="",$E10="",$F10="",$F10&gt;an_final,$O10=FALSE),"",IF($H10="",CS_STR_A*$G10/P10,CS_STR_A*$H10))</f>
        <v>140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35</v>
      </c>
      <c r="N10" s="58">
        <f t="shared" ref="N10:N73" si="6">IF(OR($B10="",$C10="",$D10="",$E10="",$F10="",$F10&lt;an_initial,$F10&gt;an_final,$O10=FALSE),"",IF($H10="",$G10/P10,$H10))</f>
        <v>35</v>
      </c>
      <c r="O10" s="349" t="b">
        <f t="shared" ref="O10:O73" si="7">IF(nume_candidat="",FALSE,ISNUMBER(SEARCH(nume_candidat,$B10)))</f>
        <v>1</v>
      </c>
      <c r="P10" s="350">
        <f t="shared" ref="P10:P73" si="8">LEN(B10)-LEN(SUBSTITUTE(B10,",",""))+1</f>
        <v>5</v>
      </c>
    </row>
    <row r="11" spans="1:16" ht="47.25" x14ac:dyDescent="0.25">
      <c r="A11" s="37">
        <v>2</v>
      </c>
      <c r="B11" s="7" t="s">
        <v>1239</v>
      </c>
      <c r="C11" s="7" t="s">
        <v>1240</v>
      </c>
      <c r="D11" s="7" t="s">
        <v>657</v>
      </c>
      <c r="E11" s="5" t="s">
        <v>1241</v>
      </c>
      <c r="F11" s="220">
        <v>2016</v>
      </c>
      <c r="G11" s="220">
        <v>141</v>
      </c>
      <c r="H11" s="220">
        <v>70</v>
      </c>
      <c r="I11" s="16">
        <f t="shared" si="1"/>
        <v>70</v>
      </c>
      <c r="J11" s="16">
        <f t="shared" si="2"/>
        <v>280</v>
      </c>
      <c r="K11" s="58">
        <f t="shared" si="3"/>
        <v>1</v>
      </c>
      <c r="L11" s="58">
        <f t="shared" si="4"/>
        <v>1</v>
      </c>
      <c r="M11" s="376">
        <f t="shared" si="5"/>
        <v>70</v>
      </c>
      <c r="N11" s="58">
        <f t="shared" si="6"/>
        <v>70</v>
      </c>
      <c r="O11" s="349" t="b">
        <f t="shared" si="7"/>
        <v>1</v>
      </c>
      <c r="P11" s="350">
        <f t="shared" si="8"/>
        <v>4</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E19" sqref="E1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35" t="s">
        <v>808</v>
      </c>
      <c r="B5" s="535"/>
      <c r="C5" s="535"/>
      <c r="D5" s="535"/>
      <c r="E5" s="535"/>
      <c r="F5" s="535"/>
      <c r="G5" s="535"/>
      <c r="H5" s="535"/>
      <c r="I5" s="535"/>
      <c r="J5" s="226"/>
      <c r="K5" s="226"/>
      <c r="L5" s="226"/>
      <c r="M5" s="226"/>
      <c r="N5" s="64"/>
    </row>
    <row r="6" spans="1:16" ht="13.5" customHeight="1" x14ac:dyDescent="0.25">
      <c r="E6" s="64"/>
      <c r="F6" s="64"/>
      <c r="H6" s="64"/>
      <c r="I6" s="347" t="str">
        <f>CONCATENATE(functie," ",nume_candidat)</f>
        <v>Conferențiar Codrean Cosmin</v>
      </c>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6.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2" sqref="A12"/>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10" t="str">
        <f>"Concurs public DECANI " &amp; an_final+1</f>
        <v>Concurs public DECANI 2020</v>
      </c>
      <c r="B3" s="510"/>
      <c r="C3" s="39"/>
      <c r="D3" s="39"/>
      <c r="E3" s="39"/>
      <c r="F3" s="39"/>
      <c r="G3" s="39"/>
      <c r="H3" s="39"/>
    </row>
    <row r="4" spans="1:8" s="40" customFormat="1" x14ac:dyDescent="0.25">
      <c r="A4" s="511" t="str">
        <f>"Perioada de evaluare: "&amp; an_initial &amp; " ‒ " &amp; an_final</f>
        <v>Perioada de evaluare: 2015 ‒ 2019</v>
      </c>
      <c r="B4" s="511"/>
      <c r="C4" s="39"/>
      <c r="D4" s="39"/>
      <c r="E4" s="39"/>
      <c r="F4" s="39"/>
      <c r="G4" s="39"/>
      <c r="H4" s="39"/>
    </row>
    <row r="5" spans="1:8" ht="15.75" thickBot="1" x14ac:dyDescent="0.3">
      <c r="A5" s="43"/>
      <c r="B5" s="41"/>
      <c r="C5" s="41"/>
      <c r="D5" s="44" t="s">
        <v>487</v>
      </c>
      <c r="E5" s="41"/>
      <c r="F5" s="41"/>
      <c r="G5" s="41"/>
      <c r="H5" s="41"/>
    </row>
    <row r="6" spans="1:8" ht="15.75" x14ac:dyDescent="0.25">
      <c r="A6" s="45" t="s">
        <v>485</v>
      </c>
      <c r="B6" s="155" t="s">
        <v>1235</v>
      </c>
      <c r="C6" s="41"/>
      <c r="D6" s="46" t="s">
        <v>493</v>
      </c>
      <c r="E6" s="41"/>
      <c r="F6" s="41"/>
      <c r="G6" s="41"/>
      <c r="H6" s="41"/>
    </row>
    <row r="7" spans="1:8" ht="15.75" x14ac:dyDescent="0.25">
      <c r="A7" s="45" t="s">
        <v>486</v>
      </c>
      <c r="B7" s="155" t="s">
        <v>490</v>
      </c>
      <c r="C7" s="41"/>
      <c r="D7" s="46" t="s">
        <v>552</v>
      </c>
      <c r="E7" s="41"/>
      <c r="F7" s="41"/>
      <c r="G7" s="41"/>
      <c r="H7" s="41"/>
    </row>
    <row r="8" spans="1:8" ht="15.75" x14ac:dyDescent="0.25">
      <c r="A8" s="45" t="s">
        <v>1233</v>
      </c>
      <c r="B8" s="155" t="s">
        <v>526</v>
      </c>
      <c r="C8" s="41"/>
      <c r="D8" s="46" t="s">
        <v>554</v>
      </c>
      <c r="E8" s="41"/>
      <c r="F8" s="41"/>
      <c r="G8" s="41"/>
      <c r="H8" s="41"/>
    </row>
    <row r="9" spans="1:8" ht="15.75" x14ac:dyDescent="0.25">
      <c r="A9" s="502" t="s">
        <v>1232</v>
      </c>
      <c r="B9" s="155" t="s">
        <v>508</v>
      </c>
      <c r="C9" s="41"/>
      <c r="D9" s="46" t="s">
        <v>554</v>
      </c>
      <c r="E9" s="41"/>
      <c r="F9" s="41"/>
      <c r="G9" s="41"/>
      <c r="H9" s="41"/>
    </row>
    <row r="10" spans="1:8" x14ac:dyDescent="0.25">
      <c r="A10" s="47" t="s">
        <v>1075</v>
      </c>
      <c r="B10" s="41" t="s">
        <v>1075</v>
      </c>
      <c r="C10" s="41"/>
      <c r="D10" s="46" t="s">
        <v>1075</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E19" sqref="E19"/>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9"/>
      <c r="N1" s="289"/>
    </row>
    <row r="2" spans="1:15" s="60" customFormat="1" x14ac:dyDescent="0.2">
      <c r="A2" s="346" t="str">
        <f>IF(ISBLANK(facultate), IF(ISBLANK(departament),"","Departament " &amp; departament), "Facultatea " &amp; facultate)</f>
        <v>Facultatea Mecanică</v>
      </c>
      <c r="E2" s="61"/>
      <c r="F2" s="61"/>
      <c r="H2" s="62"/>
      <c r="I2" s="63"/>
      <c r="K2" s="62"/>
      <c r="M2" s="289"/>
      <c r="N2" s="289"/>
    </row>
    <row r="3" spans="1:15" s="60" customFormat="1" x14ac:dyDescent="0.2">
      <c r="A3" s="346" t="str">
        <f>IF(ISBLANK(departament),"","Departamentul " &amp; departament)</f>
        <v>Departamentul Ingineria Materialelor și Fabricației</v>
      </c>
      <c r="E3" s="61"/>
      <c r="F3" s="61"/>
      <c r="H3" s="62"/>
      <c r="I3" s="63"/>
      <c r="K3" s="62"/>
      <c r="M3" s="289"/>
      <c r="N3" s="289"/>
    </row>
    <row r="4" spans="1:15" x14ac:dyDescent="0.25">
      <c r="A4" s="535" t="s">
        <v>784</v>
      </c>
      <c r="B4" s="535"/>
      <c r="C4" s="535"/>
      <c r="D4" s="535"/>
      <c r="E4" s="535"/>
      <c r="F4" s="535"/>
      <c r="G4" s="535"/>
      <c r="H4" s="535"/>
      <c r="I4" s="535"/>
      <c r="J4" s="535"/>
      <c r="K4" s="226"/>
      <c r="L4" s="226"/>
      <c r="M4" s="226"/>
      <c r="N4" s="291"/>
    </row>
    <row r="5" spans="1:15" x14ac:dyDescent="0.25">
      <c r="A5" s="535" t="s">
        <v>773</v>
      </c>
      <c r="B5" s="535"/>
      <c r="C5" s="535"/>
      <c r="D5" s="535"/>
      <c r="E5" s="535"/>
      <c r="F5" s="535"/>
      <c r="G5" s="535"/>
      <c r="H5" s="535"/>
      <c r="I5" s="535"/>
      <c r="J5" s="535"/>
      <c r="K5" s="226"/>
      <c r="L5" s="226"/>
      <c r="M5" s="226"/>
    </row>
    <row r="6" spans="1:15" x14ac:dyDescent="0.25">
      <c r="I6" s="347" t="str">
        <f>CONCATENATE(functie," ",nume_candidat)</f>
        <v>Conferențiar Codrean Cosmin</v>
      </c>
      <c r="J6" s="347" t="str">
        <f>CONCATENATE(functie," ",nume_candidat)</f>
        <v>Conferențiar Codrean Cosmin</v>
      </c>
    </row>
    <row r="7" spans="1:15" ht="19.5" customHeight="1" x14ac:dyDescent="0.25">
      <c r="A7" s="532" t="s">
        <v>338</v>
      </c>
      <c r="B7" s="532" t="s">
        <v>0</v>
      </c>
      <c r="C7" s="532" t="s">
        <v>20</v>
      </c>
      <c r="D7" s="532" t="s">
        <v>21</v>
      </c>
      <c r="E7" s="533" t="s">
        <v>336</v>
      </c>
      <c r="F7" s="538" t="s">
        <v>22</v>
      </c>
      <c r="G7" s="532" t="s">
        <v>18</v>
      </c>
      <c r="H7" s="533" t="s">
        <v>546</v>
      </c>
      <c r="I7" s="532" t="s">
        <v>544</v>
      </c>
      <c r="J7" s="532"/>
      <c r="K7" s="532" t="s">
        <v>4</v>
      </c>
      <c r="L7" s="532"/>
      <c r="M7" s="533" t="s">
        <v>19</v>
      </c>
      <c r="N7" s="539" t="s">
        <v>541</v>
      </c>
      <c r="O7" s="542" t="s">
        <v>551</v>
      </c>
    </row>
    <row r="8" spans="1:15"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534"/>
      <c r="N8" s="539"/>
      <c r="O8" s="542"/>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N16" sqref="N16"/>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483</v>
      </c>
      <c r="H1" s="61"/>
      <c r="I1" s="63"/>
      <c r="J1" s="50"/>
      <c r="K1" s="62"/>
      <c r="L1" s="51"/>
      <c r="M1" s="50"/>
    </row>
    <row r="2" spans="1:13" s="60" customFormat="1" x14ac:dyDescent="0.2">
      <c r="A2" s="346" t="str">
        <f>IF(ISBLANK(facultate), IF(ISBLANK(departament),"","Departament " &amp; departament), "Facultatea " &amp; facultate)</f>
        <v>Facultatea Mecanică</v>
      </c>
      <c r="H2" s="61"/>
      <c r="I2" s="63"/>
      <c r="J2" s="50"/>
      <c r="K2" s="62"/>
      <c r="L2" s="51"/>
      <c r="M2" s="50"/>
    </row>
    <row r="3" spans="1:13" s="60" customFormat="1" x14ac:dyDescent="0.2">
      <c r="A3" s="346" t="str">
        <f>IF(ISBLANK(departament),"","Departamentul " &amp; departament)</f>
        <v>Departamentul Ingineria Materialelor și Fabricației</v>
      </c>
      <c r="H3" s="61"/>
      <c r="I3" s="63"/>
      <c r="J3" s="50"/>
      <c r="K3" s="62"/>
      <c r="L3" s="51"/>
      <c r="M3" s="50"/>
    </row>
    <row r="4" spans="1:13" s="54" customFormat="1" x14ac:dyDescent="0.25">
      <c r="A4" s="549" t="s">
        <v>784</v>
      </c>
      <c r="B4" s="549"/>
      <c r="C4" s="549"/>
      <c r="D4" s="549"/>
      <c r="E4" s="549"/>
      <c r="F4" s="549"/>
      <c r="G4" s="549"/>
      <c r="H4" s="549"/>
      <c r="I4" s="549"/>
      <c r="J4" s="424"/>
      <c r="K4" s="52"/>
      <c r="L4" s="53"/>
    </row>
    <row r="5" spans="1:13" s="54" customFormat="1" x14ac:dyDescent="0.25">
      <c r="A5" s="549" t="s">
        <v>809</v>
      </c>
      <c r="B5" s="549"/>
      <c r="C5" s="549"/>
      <c r="D5" s="549"/>
      <c r="E5" s="549"/>
      <c r="F5" s="549"/>
      <c r="G5" s="549"/>
      <c r="H5" s="549"/>
      <c r="I5" s="549"/>
      <c r="J5" s="424"/>
      <c r="K5" s="52"/>
      <c r="L5" s="55"/>
    </row>
    <row r="6" spans="1:13" s="54" customFormat="1" ht="13.5" customHeight="1" x14ac:dyDescent="0.25">
      <c r="A6" s="50"/>
      <c r="I6" s="505" t="s">
        <v>1234</v>
      </c>
      <c r="J6" s="347" t="str">
        <f>CONCATENATE(functie," ",nume_candidat)</f>
        <v>Conferențiar Codrean Cosmin</v>
      </c>
      <c r="K6" s="57"/>
      <c r="L6" s="55"/>
    </row>
    <row r="7" spans="1:13" ht="18.75" customHeight="1" x14ac:dyDescent="0.25">
      <c r="A7" s="546" t="s">
        <v>338</v>
      </c>
      <c r="B7" s="533" t="s">
        <v>779</v>
      </c>
      <c r="C7" s="533" t="s">
        <v>774</v>
      </c>
      <c r="D7" s="160" t="s">
        <v>801</v>
      </c>
      <c r="E7" s="421"/>
      <c r="F7" s="421"/>
      <c r="G7" s="421"/>
      <c r="H7" s="543" t="s">
        <v>2</v>
      </c>
      <c r="I7" s="546" t="s">
        <v>544</v>
      </c>
      <c r="J7" s="543" t="s">
        <v>1101</v>
      </c>
      <c r="K7" s="546" t="s">
        <v>4</v>
      </c>
      <c r="L7" s="551" t="s">
        <v>541</v>
      </c>
      <c r="M7" s="540" t="s">
        <v>551</v>
      </c>
    </row>
    <row r="8" spans="1:13" ht="18.75" customHeight="1" x14ac:dyDescent="0.25">
      <c r="A8" s="547"/>
      <c r="B8" s="550"/>
      <c r="C8" s="550"/>
      <c r="D8" s="421"/>
      <c r="E8" s="160" t="s">
        <v>777</v>
      </c>
      <c r="F8" s="421"/>
      <c r="G8" s="421"/>
      <c r="H8" s="544"/>
      <c r="I8" s="547"/>
      <c r="J8" s="544"/>
      <c r="K8" s="547"/>
      <c r="L8" s="552"/>
      <c r="M8" s="540"/>
    </row>
    <row r="9" spans="1:13" ht="18.75" customHeight="1" x14ac:dyDescent="0.25">
      <c r="A9" s="547"/>
      <c r="B9" s="550"/>
      <c r="C9" s="550"/>
      <c r="D9" s="160"/>
      <c r="E9" s="160"/>
      <c r="F9" s="160" t="s">
        <v>775</v>
      </c>
      <c r="G9" s="421"/>
      <c r="H9" s="544"/>
      <c r="I9" s="548"/>
      <c r="J9" s="544"/>
      <c r="K9" s="548"/>
      <c r="L9" s="552"/>
      <c r="M9" s="540"/>
    </row>
    <row r="10" spans="1:13" ht="18.75" customHeight="1" x14ac:dyDescent="0.25">
      <c r="A10" s="548"/>
      <c r="B10" s="534"/>
      <c r="C10" s="534"/>
      <c r="D10" s="421"/>
      <c r="F10" s="160"/>
      <c r="G10" s="160" t="s">
        <v>776</v>
      </c>
      <c r="H10" s="545"/>
      <c r="I10" s="425" t="str">
        <f>CONCATENATE("ultimii ",durata_evaluare," ani")</f>
        <v>ultimii 5 ani</v>
      </c>
      <c r="J10" s="545"/>
      <c r="K10" s="348" t="str">
        <f>CONCATENATE("ultimii                                  ",durata_evaluare," ani")</f>
        <v>ultimii                                  5 ani</v>
      </c>
      <c r="L10" s="553"/>
      <c r="M10" s="540"/>
    </row>
    <row r="11" spans="1:13" x14ac:dyDescent="0.25">
      <c r="A11" s="56"/>
      <c r="B11" s="65"/>
      <c r="C11" s="65"/>
      <c r="D11" s="65"/>
      <c r="E11" s="65"/>
      <c r="F11" s="65"/>
      <c r="G11" s="65"/>
      <c r="H11" s="30"/>
      <c r="I11" s="148">
        <f>SUMIF(I12:I1012,"&gt;0")</f>
        <v>50</v>
      </c>
      <c r="J11" s="436"/>
      <c r="K11" s="4">
        <f t="shared" ref="K11" si="0">SUMIF(K12:K110,"&gt;0")</f>
        <v>1</v>
      </c>
      <c r="L11" s="12"/>
      <c r="M11" s="48"/>
    </row>
    <row r="12" spans="1:13" ht="31.5" x14ac:dyDescent="0.25">
      <c r="A12" s="37">
        <v>1</v>
      </c>
      <c r="B12" s="380" t="s">
        <v>1235</v>
      </c>
      <c r="C12" s="380" t="s">
        <v>1242</v>
      </c>
      <c r="D12" s="380"/>
      <c r="E12" s="380" t="s">
        <v>1074</v>
      </c>
      <c r="F12" s="380"/>
      <c r="G12" s="380"/>
      <c r="H12" s="423">
        <v>2016</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x14ac:dyDescent="0.25">
      <c r="A13" s="37">
        <v>2</v>
      </c>
      <c r="B13" s="380"/>
      <c r="C13" s="380"/>
      <c r="D13" s="380"/>
      <c r="E13" s="380"/>
      <c r="F13" s="380"/>
      <c r="G13" s="380"/>
      <c r="H13" s="423"/>
      <c r="I13" s="382" t="str">
        <f t="shared" si="1"/>
        <v/>
      </c>
      <c r="J13" s="37"/>
      <c r="K13" s="58" t="str">
        <f t="shared" si="2"/>
        <v/>
      </c>
      <c r="L13" s="349" t="b">
        <f t="shared" si="3"/>
        <v>0</v>
      </c>
      <c r="M13" s="350">
        <f t="shared" si="4"/>
        <v>1</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topLeftCell="A4" zoomScaleNormal="100" workbookViewId="0">
      <selection activeCell="L5" sqref="L5"/>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9"/>
    </row>
    <row r="2" spans="1:9" s="60" customFormat="1" x14ac:dyDescent="0.2">
      <c r="A2" s="346" t="str">
        <f>IF(ISBLANK(facultate), IF(ISBLANK(departament),"","Departament " &amp; departament), "Facultatea " &amp; facultate)</f>
        <v>Facultatea Mecanică</v>
      </c>
      <c r="D2" s="61"/>
      <c r="E2" s="63"/>
      <c r="F2" s="50"/>
      <c r="G2" s="62"/>
      <c r="H2" s="289"/>
    </row>
    <row r="3" spans="1:9" s="60" customFormat="1" x14ac:dyDescent="0.2">
      <c r="A3" s="346" t="str">
        <f>IF(ISBLANK(departament),"","Departamentul " &amp; departament)</f>
        <v>Departamentul Ingineria Materialelor și Fabricației</v>
      </c>
      <c r="D3" s="61"/>
      <c r="E3" s="63"/>
      <c r="F3" s="50"/>
      <c r="G3" s="62"/>
      <c r="H3" s="289"/>
    </row>
    <row r="4" spans="1:9" x14ac:dyDescent="0.25">
      <c r="A4" s="535" t="s">
        <v>784</v>
      </c>
      <c r="B4" s="535"/>
      <c r="C4" s="535"/>
      <c r="D4" s="535"/>
      <c r="E4" s="535"/>
      <c r="F4" s="424"/>
      <c r="G4" s="226"/>
      <c r="H4" s="291"/>
    </row>
    <row r="5" spans="1:9" x14ac:dyDescent="0.25">
      <c r="A5" s="535" t="s">
        <v>778</v>
      </c>
      <c r="B5" s="535"/>
      <c r="C5" s="535"/>
      <c r="D5" s="535"/>
      <c r="E5" s="535"/>
      <c r="F5" s="424"/>
      <c r="G5" s="226"/>
    </row>
    <row r="6" spans="1:9" ht="13.5" customHeight="1" x14ac:dyDescent="0.25">
      <c r="D6" s="64"/>
      <c r="E6" s="347" t="str">
        <f>CONCATENATE(functie," ",nume_candidat)</f>
        <v>Conferențiar Codrean Cosmin</v>
      </c>
      <c r="F6" s="347" t="str">
        <f>CONCATENATE(functie," ",nume_candidat)</f>
        <v>Conferențiar Codrean Cosmin</v>
      </c>
    </row>
    <row r="7" spans="1:9" ht="18.75" customHeight="1" x14ac:dyDescent="0.25">
      <c r="A7" s="533" t="s">
        <v>338</v>
      </c>
      <c r="B7" s="533" t="s">
        <v>454</v>
      </c>
      <c r="C7" s="533" t="s">
        <v>780</v>
      </c>
      <c r="D7" s="543" t="s">
        <v>2</v>
      </c>
      <c r="E7" s="533" t="s">
        <v>544</v>
      </c>
      <c r="F7" s="543" t="s">
        <v>1101</v>
      </c>
      <c r="G7" s="533" t="s">
        <v>4</v>
      </c>
      <c r="H7" s="554" t="s">
        <v>541</v>
      </c>
      <c r="I7" s="540" t="s">
        <v>551</v>
      </c>
    </row>
    <row r="8" spans="1:9" ht="18.75" customHeight="1" x14ac:dyDescent="0.25">
      <c r="A8" s="550"/>
      <c r="B8" s="550"/>
      <c r="C8" s="550"/>
      <c r="D8" s="544"/>
      <c r="E8" s="550"/>
      <c r="F8" s="544"/>
      <c r="G8" s="550"/>
      <c r="H8" s="555"/>
      <c r="I8" s="540"/>
    </row>
    <row r="9" spans="1:9" ht="18.75" customHeight="1" x14ac:dyDescent="0.25">
      <c r="A9" s="550"/>
      <c r="B9" s="550"/>
      <c r="C9" s="550"/>
      <c r="D9" s="544"/>
      <c r="E9" s="534"/>
      <c r="F9" s="544"/>
      <c r="G9" s="534"/>
      <c r="H9" s="555"/>
      <c r="I9" s="540"/>
    </row>
    <row r="10" spans="1:9" ht="18.75" customHeight="1" x14ac:dyDescent="0.25">
      <c r="A10" s="534"/>
      <c r="B10" s="534"/>
      <c r="C10" s="534"/>
      <c r="D10" s="545"/>
      <c r="E10" s="348" t="str">
        <f>CONCATENATE("ultimii ",durata_evaluare," ani")</f>
        <v>ultimii 5 ani</v>
      </c>
      <c r="F10" s="545"/>
      <c r="G10" s="348" t="str">
        <f>CONCATENATE("ultimii                                  ",durata_evaluare," ani")</f>
        <v>ultimii                                  5 ani</v>
      </c>
      <c r="H10" s="556"/>
      <c r="I10" s="540"/>
    </row>
    <row r="11" spans="1:9" x14ac:dyDescent="0.25">
      <c r="A11" s="88"/>
      <c r="B11" s="65"/>
      <c r="C11" s="65"/>
      <c r="D11" s="30"/>
      <c r="E11" s="148">
        <f>SUMIF(E12:E1012,"&gt;0")</f>
        <v>190</v>
      </c>
      <c r="F11" s="436"/>
      <c r="G11" s="4">
        <f t="shared" ref="G11" si="0">SUMIF(G12:G110,"&gt;0")</f>
        <v>19</v>
      </c>
      <c r="H11" s="298"/>
    </row>
    <row r="12" spans="1:9" ht="78.75" x14ac:dyDescent="0.25">
      <c r="A12" s="37">
        <v>1</v>
      </c>
      <c r="B12" s="7" t="s">
        <v>1243</v>
      </c>
      <c r="C12" s="380" t="s">
        <v>1280</v>
      </c>
      <c r="D12" s="220">
        <v>2019</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47.25" x14ac:dyDescent="0.25">
      <c r="A13" s="37">
        <v>2</v>
      </c>
      <c r="B13" s="7" t="s">
        <v>1244</v>
      </c>
      <c r="C13" s="7" t="s">
        <v>1279</v>
      </c>
      <c r="D13" s="220">
        <v>2019</v>
      </c>
      <c r="E13" s="16">
        <f t="shared" si="1"/>
        <v>10</v>
      </c>
      <c r="F13" s="37"/>
      <c r="G13" s="58">
        <f t="shared" si="2"/>
        <v>1</v>
      </c>
      <c r="H13" s="349" t="b">
        <f t="shared" si="3"/>
        <v>0</v>
      </c>
      <c r="I13" s="350">
        <f t="shared" si="4"/>
        <v>1</v>
      </c>
    </row>
    <row r="14" spans="1:9" ht="94.5" x14ac:dyDescent="0.25">
      <c r="A14" s="37">
        <v>3</v>
      </c>
      <c r="B14" s="7" t="s">
        <v>1245</v>
      </c>
      <c r="C14" s="7" t="s">
        <v>1278</v>
      </c>
      <c r="D14" s="220">
        <v>2019</v>
      </c>
      <c r="E14" s="16">
        <f t="shared" si="1"/>
        <v>10</v>
      </c>
      <c r="F14" s="37"/>
      <c r="G14" s="58">
        <f t="shared" si="2"/>
        <v>1</v>
      </c>
      <c r="H14" s="349" t="b">
        <f t="shared" si="3"/>
        <v>0</v>
      </c>
      <c r="I14" s="350">
        <f t="shared" si="4"/>
        <v>1</v>
      </c>
    </row>
    <row r="15" spans="1:9" ht="31.5" x14ac:dyDescent="0.25">
      <c r="A15" s="37">
        <v>4</v>
      </c>
      <c r="B15" s="6" t="s">
        <v>1246</v>
      </c>
      <c r="C15" s="6" t="s">
        <v>1247</v>
      </c>
      <c r="D15" s="216">
        <v>2018</v>
      </c>
      <c r="E15" s="16">
        <f t="shared" si="1"/>
        <v>10</v>
      </c>
      <c r="F15" s="37"/>
      <c r="G15" s="58">
        <f t="shared" si="2"/>
        <v>1</v>
      </c>
      <c r="H15" s="349" t="b">
        <f t="shared" si="3"/>
        <v>0</v>
      </c>
      <c r="I15" s="350">
        <f t="shared" si="4"/>
        <v>1</v>
      </c>
    </row>
    <row r="16" spans="1:9" x14ac:dyDescent="0.25">
      <c r="A16" s="37">
        <v>5</v>
      </c>
      <c r="B16" s="6" t="s">
        <v>1248</v>
      </c>
      <c r="C16" s="6" t="s">
        <v>1249</v>
      </c>
      <c r="D16" s="216">
        <v>2018</v>
      </c>
      <c r="E16" s="16">
        <f t="shared" si="1"/>
        <v>10</v>
      </c>
      <c r="F16" s="37"/>
      <c r="G16" s="58">
        <f t="shared" si="2"/>
        <v>1</v>
      </c>
      <c r="H16" s="349" t="b">
        <f t="shared" si="3"/>
        <v>0</v>
      </c>
      <c r="I16" s="350">
        <f t="shared" si="4"/>
        <v>1</v>
      </c>
    </row>
    <row r="17" spans="1:9" ht="31.5" x14ac:dyDescent="0.25">
      <c r="A17" s="37">
        <v>6</v>
      </c>
      <c r="B17" s="6" t="s">
        <v>1250</v>
      </c>
      <c r="C17" s="6" t="s">
        <v>1251</v>
      </c>
      <c r="D17" s="216">
        <v>2017</v>
      </c>
      <c r="E17" s="16">
        <f t="shared" si="1"/>
        <v>10</v>
      </c>
      <c r="F17" s="37"/>
      <c r="G17" s="58">
        <f t="shared" si="2"/>
        <v>1</v>
      </c>
      <c r="H17" s="349" t="b">
        <f t="shared" si="3"/>
        <v>0</v>
      </c>
      <c r="I17" s="350">
        <f t="shared" si="4"/>
        <v>1</v>
      </c>
    </row>
    <row r="18" spans="1:9" ht="47.25" x14ac:dyDescent="0.25">
      <c r="A18" s="37">
        <v>7</v>
      </c>
      <c r="B18" s="6" t="s">
        <v>1252</v>
      </c>
      <c r="C18" s="6" t="s">
        <v>1253</v>
      </c>
      <c r="D18" s="216">
        <v>2017</v>
      </c>
      <c r="E18" s="16">
        <f t="shared" si="1"/>
        <v>10</v>
      </c>
      <c r="F18" s="37"/>
      <c r="G18" s="58">
        <f t="shared" si="2"/>
        <v>1</v>
      </c>
      <c r="H18" s="349" t="b">
        <f t="shared" si="3"/>
        <v>0</v>
      </c>
      <c r="I18" s="350">
        <f t="shared" si="4"/>
        <v>1</v>
      </c>
    </row>
    <row r="19" spans="1:9" ht="31.5" x14ac:dyDescent="0.25">
      <c r="A19" s="37">
        <v>8</v>
      </c>
      <c r="B19" s="6" t="s">
        <v>1254</v>
      </c>
      <c r="C19" s="6" t="s">
        <v>1255</v>
      </c>
      <c r="D19" s="216">
        <v>2017</v>
      </c>
      <c r="E19" s="16">
        <f t="shared" si="1"/>
        <v>10</v>
      </c>
      <c r="F19" s="37"/>
      <c r="G19" s="58">
        <f t="shared" si="2"/>
        <v>1</v>
      </c>
      <c r="H19" s="349" t="b">
        <f t="shared" si="3"/>
        <v>0</v>
      </c>
      <c r="I19" s="350">
        <f t="shared" si="4"/>
        <v>1</v>
      </c>
    </row>
    <row r="20" spans="1:9" ht="47.25" x14ac:dyDescent="0.25">
      <c r="A20" s="37">
        <v>9</v>
      </c>
      <c r="B20" s="6" t="s">
        <v>1256</v>
      </c>
      <c r="C20" s="6" t="s">
        <v>1257</v>
      </c>
      <c r="D20" s="216">
        <v>2017</v>
      </c>
      <c r="E20" s="16">
        <f t="shared" si="1"/>
        <v>10</v>
      </c>
      <c r="F20" s="37"/>
      <c r="G20" s="58">
        <f t="shared" si="2"/>
        <v>1</v>
      </c>
      <c r="H20" s="349" t="b">
        <f t="shared" si="3"/>
        <v>0</v>
      </c>
      <c r="I20" s="350">
        <f t="shared" si="4"/>
        <v>1</v>
      </c>
    </row>
    <row r="21" spans="1:9" ht="47.25" x14ac:dyDescent="0.25">
      <c r="A21" s="37">
        <v>10</v>
      </c>
      <c r="B21" s="6" t="s">
        <v>1258</v>
      </c>
      <c r="C21" s="6" t="s">
        <v>1259</v>
      </c>
      <c r="D21" s="216">
        <v>2017</v>
      </c>
      <c r="E21" s="16">
        <f t="shared" si="1"/>
        <v>10</v>
      </c>
      <c r="F21" s="37"/>
      <c r="G21" s="58">
        <f t="shared" si="2"/>
        <v>1</v>
      </c>
      <c r="H21" s="349" t="b">
        <f t="shared" si="3"/>
        <v>0</v>
      </c>
      <c r="I21" s="350">
        <f t="shared" si="4"/>
        <v>1</v>
      </c>
    </row>
    <row r="22" spans="1:9" ht="31.5" x14ac:dyDescent="0.25">
      <c r="A22" s="37">
        <v>11</v>
      </c>
      <c r="B22" s="6" t="s">
        <v>1260</v>
      </c>
      <c r="C22" s="6" t="s">
        <v>1261</v>
      </c>
      <c r="D22" s="216">
        <v>2017</v>
      </c>
      <c r="E22" s="16">
        <f t="shared" si="1"/>
        <v>10</v>
      </c>
      <c r="F22" s="37"/>
      <c r="G22" s="58">
        <f t="shared" si="2"/>
        <v>1</v>
      </c>
      <c r="H22" s="349" t="b">
        <f t="shared" si="3"/>
        <v>0</v>
      </c>
      <c r="I22" s="350">
        <f t="shared" si="4"/>
        <v>1</v>
      </c>
    </row>
    <row r="23" spans="1:9" ht="31.5" x14ac:dyDescent="0.25">
      <c r="A23" s="37">
        <v>12</v>
      </c>
      <c r="B23" s="6" t="s">
        <v>1262</v>
      </c>
      <c r="C23" s="6" t="s">
        <v>1263</v>
      </c>
      <c r="D23" s="216">
        <v>2016</v>
      </c>
      <c r="E23" s="16">
        <f t="shared" si="1"/>
        <v>10</v>
      </c>
      <c r="F23" s="37"/>
      <c r="G23" s="58">
        <f t="shared" si="2"/>
        <v>1</v>
      </c>
      <c r="H23" s="349" t="b">
        <f t="shared" si="3"/>
        <v>0</v>
      </c>
      <c r="I23" s="350">
        <f t="shared" si="4"/>
        <v>1</v>
      </c>
    </row>
    <row r="24" spans="1:9" ht="47.25" x14ac:dyDescent="0.25">
      <c r="A24" s="37">
        <v>13</v>
      </c>
      <c r="B24" s="6" t="s">
        <v>1264</v>
      </c>
      <c r="C24" s="6" t="s">
        <v>1265</v>
      </c>
      <c r="D24" s="216">
        <v>2016</v>
      </c>
      <c r="E24" s="16">
        <f t="shared" si="1"/>
        <v>10</v>
      </c>
      <c r="F24" s="37"/>
      <c r="G24" s="58">
        <f t="shared" si="2"/>
        <v>1</v>
      </c>
      <c r="H24" s="349" t="b">
        <f t="shared" si="3"/>
        <v>0</v>
      </c>
      <c r="I24" s="350">
        <f t="shared" si="4"/>
        <v>1</v>
      </c>
    </row>
    <row r="25" spans="1:9" ht="63" x14ac:dyDescent="0.25">
      <c r="A25" s="37">
        <v>14</v>
      </c>
      <c r="B25" s="6" t="s">
        <v>1266</v>
      </c>
      <c r="C25" s="6" t="s">
        <v>1267</v>
      </c>
      <c r="D25" s="216">
        <v>2016</v>
      </c>
      <c r="E25" s="16">
        <f t="shared" si="1"/>
        <v>10</v>
      </c>
      <c r="F25" s="37"/>
      <c r="G25" s="58">
        <f t="shared" si="2"/>
        <v>1</v>
      </c>
      <c r="H25" s="349" t="b">
        <f t="shared" si="3"/>
        <v>0</v>
      </c>
      <c r="I25" s="350">
        <f t="shared" si="4"/>
        <v>1</v>
      </c>
    </row>
    <row r="26" spans="1:9" ht="31.5" x14ac:dyDescent="0.25">
      <c r="A26" s="37">
        <v>15</v>
      </c>
      <c r="B26" s="6" t="s">
        <v>1268</v>
      </c>
      <c r="C26" s="6" t="s">
        <v>1269</v>
      </c>
      <c r="D26" s="216">
        <v>2015</v>
      </c>
      <c r="E26" s="16">
        <f t="shared" si="1"/>
        <v>10</v>
      </c>
      <c r="F26" s="37"/>
      <c r="G26" s="58">
        <f t="shared" si="2"/>
        <v>1</v>
      </c>
      <c r="H26" s="349" t="b">
        <f t="shared" si="3"/>
        <v>0</v>
      </c>
      <c r="I26" s="350">
        <f t="shared" si="4"/>
        <v>1</v>
      </c>
    </row>
    <row r="27" spans="1:9" ht="47.25" x14ac:dyDescent="0.25">
      <c r="A27" s="37">
        <v>16</v>
      </c>
      <c r="B27" s="6" t="s">
        <v>1270</v>
      </c>
      <c r="C27" s="6" t="s">
        <v>1271</v>
      </c>
      <c r="D27" s="216">
        <v>2015</v>
      </c>
      <c r="E27" s="16">
        <f t="shared" si="1"/>
        <v>10</v>
      </c>
      <c r="F27" s="37"/>
      <c r="G27" s="58">
        <f t="shared" si="2"/>
        <v>1</v>
      </c>
      <c r="H27" s="349" t="b">
        <f t="shared" si="3"/>
        <v>0</v>
      </c>
      <c r="I27" s="350">
        <f t="shared" si="4"/>
        <v>1</v>
      </c>
    </row>
    <row r="28" spans="1:9" ht="47.25" x14ac:dyDescent="0.25">
      <c r="A28" s="37">
        <v>17</v>
      </c>
      <c r="B28" s="6" t="s">
        <v>1272</v>
      </c>
      <c r="C28" s="6" t="s">
        <v>1273</v>
      </c>
      <c r="D28" s="216">
        <v>2015</v>
      </c>
      <c r="E28" s="16">
        <f t="shared" si="1"/>
        <v>10</v>
      </c>
      <c r="F28" s="37"/>
      <c r="G28" s="58">
        <f t="shared" si="2"/>
        <v>1</v>
      </c>
      <c r="H28" s="349" t="b">
        <f t="shared" si="3"/>
        <v>0</v>
      </c>
      <c r="I28" s="350">
        <f t="shared" si="4"/>
        <v>1</v>
      </c>
    </row>
    <row r="29" spans="1:9" ht="31.5" x14ac:dyDescent="0.25">
      <c r="A29" s="37">
        <v>18</v>
      </c>
      <c r="B29" s="6" t="s">
        <v>1274</v>
      </c>
      <c r="C29" s="6" t="s">
        <v>1275</v>
      </c>
      <c r="D29" s="216">
        <v>2015</v>
      </c>
      <c r="E29" s="16">
        <f t="shared" si="1"/>
        <v>10</v>
      </c>
      <c r="F29" s="37"/>
      <c r="G29" s="58">
        <f t="shared" si="2"/>
        <v>1</v>
      </c>
      <c r="H29" s="349" t="b">
        <f t="shared" si="3"/>
        <v>0</v>
      </c>
      <c r="I29" s="350">
        <f t="shared" si="4"/>
        <v>1</v>
      </c>
    </row>
    <row r="30" spans="1:9" ht="31.5" x14ac:dyDescent="0.25">
      <c r="A30" s="37">
        <v>19</v>
      </c>
      <c r="B30" s="6" t="s">
        <v>1276</v>
      </c>
      <c r="C30" s="6" t="s">
        <v>1277</v>
      </c>
      <c r="D30" s="216">
        <v>2015</v>
      </c>
      <c r="E30" s="16">
        <f t="shared" si="1"/>
        <v>10</v>
      </c>
      <c r="F30" s="37"/>
      <c r="G30" s="58">
        <f t="shared" si="2"/>
        <v>1</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7" sqref="B17"/>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Ingineria Materialelor și Fabricației</v>
      </c>
      <c r="E3" s="61"/>
      <c r="F3" s="63"/>
      <c r="G3" s="62"/>
      <c r="H3" s="289"/>
    </row>
    <row r="4" spans="1:8" s="64" customFormat="1" ht="15.75" x14ac:dyDescent="0.25">
      <c r="B4" s="290"/>
      <c r="C4" s="290" t="s">
        <v>784</v>
      </c>
      <c r="D4" s="290"/>
      <c r="E4" s="290"/>
      <c r="F4" s="290"/>
      <c r="G4" s="226"/>
      <c r="H4" s="291"/>
    </row>
    <row r="5" spans="1:8" s="64" customFormat="1" ht="15.75" x14ac:dyDescent="0.25">
      <c r="B5" s="290"/>
      <c r="C5" s="290" t="s">
        <v>781</v>
      </c>
      <c r="D5" s="290"/>
      <c r="E5" s="290"/>
      <c r="F5" s="290"/>
      <c r="G5" s="226"/>
      <c r="H5" s="71"/>
    </row>
    <row r="6" spans="1:8" s="64" customFormat="1" ht="13.5" customHeight="1" x14ac:dyDescent="0.25">
      <c r="A6" s="60"/>
      <c r="D6" s="347" t="str">
        <f>CONCATENATE(functie," ",nume_candidat)</f>
        <v>Conferențiar Codrean Cosmin</v>
      </c>
      <c r="G6" s="70"/>
      <c r="H6" s="71"/>
    </row>
    <row r="7" spans="1:8" ht="15" customHeight="1" x14ac:dyDescent="0.25">
      <c r="B7" s="543" t="s">
        <v>817</v>
      </c>
      <c r="C7" s="543" t="s">
        <v>2</v>
      </c>
      <c r="D7" s="533" t="s">
        <v>544</v>
      </c>
    </row>
    <row r="8" spans="1:8" ht="15" customHeight="1" x14ac:dyDescent="0.25">
      <c r="B8" s="544"/>
      <c r="C8" s="544"/>
      <c r="D8" s="550"/>
    </row>
    <row r="9" spans="1:8" ht="15" customHeight="1" x14ac:dyDescent="0.25">
      <c r="B9" s="544"/>
      <c r="C9" s="544"/>
      <c r="D9" s="550"/>
    </row>
    <row r="10" spans="1:8" ht="15.75" customHeight="1" x14ac:dyDescent="0.25">
      <c r="B10" s="545"/>
      <c r="C10" s="545"/>
      <c r="D10" s="534"/>
    </row>
    <row r="11" spans="1:8" ht="15.75" x14ac:dyDescent="0.25">
      <c r="B11" s="37">
        <v>179</v>
      </c>
      <c r="C11" s="437">
        <v>2019</v>
      </c>
      <c r="D11" s="351">
        <f>IF( ISBLANK(B11), "", IF(IF(C11&lt;2018,B11*10,B11) &lt; 0, "Eroare punctaj negativ",  IF(IF(C11&lt;2018,B11*10,B11) &gt; 200, "Eroare depășire punctaj maxim",  IF(C11&lt;2018,B11*10,B11))))</f>
        <v>179</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L19" sqref="L19"/>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9"/>
    </row>
    <row r="2" spans="1:9" s="60" customFormat="1" x14ac:dyDescent="0.2">
      <c r="A2" s="346" t="str">
        <f>IF(ISBLANK(facultate), IF(ISBLANK(departament),"","Departament " &amp; departament), "Facultatea " &amp; facultate)</f>
        <v>Facultatea Mecanică</v>
      </c>
      <c r="E2" s="61"/>
      <c r="F2" s="63"/>
      <c r="G2" s="62"/>
      <c r="H2" s="289"/>
    </row>
    <row r="3" spans="1:9" s="60" customFormat="1" x14ac:dyDescent="0.2">
      <c r="A3" s="346" t="str">
        <f>IF(ISBLANK(departament),"","Departamentul " &amp; departament)</f>
        <v>Departamentul Ingineria Materialelor și Fabricației</v>
      </c>
      <c r="E3" s="61"/>
      <c r="F3" s="63"/>
      <c r="G3" s="62"/>
      <c r="H3" s="289"/>
    </row>
    <row r="4" spans="1:9" x14ac:dyDescent="0.25">
      <c r="A4" s="535" t="s">
        <v>784</v>
      </c>
      <c r="B4" s="535"/>
      <c r="C4" s="535"/>
      <c r="D4" s="535"/>
      <c r="E4" s="535"/>
      <c r="F4" s="535"/>
      <c r="G4" s="226"/>
      <c r="H4" s="291"/>
    </row>
    <row r="5" spans="1:9" x14ac:dyDescent="0.25">
      <c r="A5" s="535" t="s">
        <v>810</v>
      </c>
      <c r="B5" s="535"/>
      <c r="C5" s="535"/>
      <c r="D5" s="535"/>
      <c r="E5" s="535"/>
      <c r="F5" s="535"/>
      <c r="G5" s="226"/>
    </row>
    <row r="6" spans="1:9" ht="13.5" customHeight="1" x14ac:dyDescent="0.25">
      <c r="E6" s="64"/>
      <c r="F6" s="347" t="str">
        <f>CONCATENATE(functie," ",nume_candidat)</f>
        <v>Conferențiar Codrean Cosmin</v>
      </c>
    </row>
    <row r="7" spans="1:9" ht="18.75" customHeight="1" x14ac:dyDescent="0.25">
      <c r="A7" s="533" t="s">
        <v>338</v>
      </c>
      <c r="B7" s="543" t="s">
        <v>783</v>
      </c>
      <c r="C7" s="543" t="s">
        <v>782</v>
      </c>
      <c r="D7" s="543" t="s">
        <v>814</v>
      </c>
      <c r="E7" s="543" t="s">
        <v>2</v>
      </c>
      <c r="F7" s="533" t="s">
        <v>544</v>
      </c>
      <c r="G7" s="533" t="s">
        <v>4</v>
      </c>
      <c r="H7" s="554" t="s">
        <v>541</v>
      </c>
      <c r="I7" s="540" t="s">
        <v>551</v>
      </c>
    </row>
    <row r="8" spans="1:9" ht="18.75" customHeight="1" x14ac:dyDescent="0.25">
      <c r="A8" s="550"/>
      <c r="B8" s="544"/>
      <c r="C8" s="544"/>
      <c r="D8" s="544"/>
      <c r="E8" s="544"/>
      <c r="F8" s="550"/>
      <c r="G8" s="550"/>
      <c r="H8" s="555"/>
      <c r="I8" s="540"/>
    </row>
    <row r="9" spans="1:9" ht="18.75" customHeight="1" x14ac:dyDescent="0.25">
      <c r="A9" s="550"/>
      <c r="B9" s="544"/>
      <c r="C9" s="544"/>
      <c r="D9" s="544"/>
      <c r="E9" s="544"/>
      <c r="F9" s="534"/>
      <c r="G9" s="534"/>
      <c r="H9" s="555"/>
      <c r="I9" s="540"/>
    </row>
    <row r="10" spans="1:9" ht="18.75" customHeight="1" x14ac:dyDescent="0.25">
      <c r="A10" s="534"/>
      <c r="B10" s="545"/>
      <c r="C10" s="545"/>
      <c r="D10" s="545"/>
      <c r="E10" s="545"/>
      <c r="F10" s="348" t="str">
        <f>CONCATENATE("ultimii ",durata_evaluare," ani")</f>
        <v>ultimii 5 ani</v>
      </c>
      <c r="G10" s="348" t="str">
        <f>CONCATENATE("ultimii                                  ",durata_evaluare," ani")</f>
        <v>ultimii                                  5 ani</v>
      </c>
      <c r="H10" s="556"/>
      <c r="I10" s="540"/>
    </row>
    <row r="11" spans="1:9" x14ac:dyDescent="0.25">
      <c r="A11" s="88"/>
      <c r="B11" s="65"/>
      <c r="C11" s="65"/>
      <c r="D11" s="65"/>
      <c r="E11" s="30"/>
      <c r="F11" s="148">
        <f>SUMIF(F12:F1012,"&gt;0")</f>
        <v>0</v>
      </c>
      <c r="G11" s="4">
        <f t="shared" ref="G11" si="0">SUMIF(G12:G110,"&gt;0")</f>
        <v>0</v>
      </c>
      <c r="H11" s="298"/>
    </row>
    <row r="12" spans="1:9" x14ac:dyDescent="0.25">
      <c r="A12" s="37">
        <v>1</v>
      </c>
      <c r="B12" s="7"/>
      <c r="C12" s="7"/>
      <c r="D12" s="7"/>
      <c r="E12" s="220"/>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x14ac:dyDescent="0.25">
      <c r="A13" s="37">
        <v>2</v>
      </c>
      <c r="B13" s="7"/>
      <c r="C13" s="7"/>
      <c r="D13" s="7"/>
      <c r="E13" s="220"/>
      <c r="F13" s="16" t="str">
        <f t="shared" si="1"/>
        <v/>
      </c>
      <c r="G13" s="58" t="str">
        <f t="shared" si="2"/>
        <v/>
      </c>
      <c r="H13" s="349" t="b">
        <f t="shared" si="3"/>
        <v>0</v>
      </c>
      <c r="I13" s="350">
        <f t="shared" si="4"/>
        <v>1</v>
      </c>
    </row>
    <row r="14" spans="1:9" x14ac:dyDescent="0.25">
      <c r="A14" s="37">
        <v>3</v>
      </c>
      <c r="B14" s="7"/>
      <c r="C14" s="7"/>
      <c r="D14" s="7"/>
      <c r="E14" s="220"/>
      <c r="F14" s="16" t="str">
        <f t="shared" si="1"/>
        <v/>
      </c>
      <c r="G14" s="58" t="str">
        <f t="shared" si="2"/>
        <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L18" sqref="L18"/>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9"/>
      <c r="K1"/>
    </row>
    <row r="2" spans="1:11" s="60" customFormat="1" x14ac:dyDescent="0.25">
      <c r="A2" s="346" t="str">
        <f>IF(ISBLANK(facultate), IF(ISBLANK(departament),"","Departament " &amp; departament), "Facultatea " &amp; facultate)</f>
        <v>Facultatea Mecanică</v>
      </c>
      <c r="E2" s="61"/>
      <c r="F2" s="63"/>
      <c r="G2" s="50"/>
      <c r="H2" s="62"/>
      <c r="I2" s="289"/>
      <c r="K2"/>
    </row>
    <row r="3" spans="1:11" s="60" customFormat="1" x14ac:dyDescent="0.25">
      <c r="A3" s="346" t="str">
        <f>IF(ISBLANK(departament),"","Departamentul " &amp; departament)</f>
        <v>Departamentul Ingineria Materialelor și Fabricației</v>
      </c>
      <c r="E3" s="61"/>
      <c r="F3" s="63"/>
      <c r="G3" s="50"/>
      <c r="H3" s="62"/>
      <c r="I3" s="289"/>
      <c r="K3"/>
    </row>
    <row r="4" spans="1:11" x14ac:dyDescent="0.25">
      <c r="A4" s="535" t="s">
        <v>784</v>
      </c>
      <c r="B4" s="535"/>
      <c r="C4" s="535"/>
      <c r="D4" s="535"/>
      <c r="E4" s="535"/>
      <c r="F4" s="535"/>
      <c r="G4" s="424"/>
      <c r="H4" s="226"/>
      <c r="I4" s="291"/>
    </row>
    <row r="5" spans="1:11" x14ac:dyDescent="0.25">
      <c r="A5" s="535" t="s">
        <v>823</v>
      </c>
      <c r="B5" s="535"/>
      <c r="C5" s="535"/>
      <c r="D5" s="535"/>
      <c r="E5" s="535"/>
      <c r="F5" s="535"/>
      <c r="G5" s="424"/>
      <c r="H5" s="226"/>
    </row>
    <row r="6" spans="1:11" ht="13.5" customHeight="1" x14ac:dyDescent="0.25">
      <c r="E6" s="64"/>
      <c r="F6" s="347" t="str">
        <f>CONCATENATE(functie," ",nume_candidat)</f>
        <v>Conferențiar Codrean Cosmin</v>
      </c>
      <c r="G6" s="347" t="str">
        <f>CONCATENATE(functie," ",nume_candidat)</f>
        <v>Conferențiar Codrean Cosmin</v>
      </c>
    </row>
    <row r="7" spans="1:11" ht="18.75" customHeight="1" x14ac:dyDescent="0.25">
      <c r="A7" s="533" t="s">
        <v>338</v>
      </c>
      <c r="B7" s="543" t="s">
        <v>825</v>
      </c>
      <c r="C7" s="543" t="s">
        <v>782</v>
      </c>
      <c r="D7" s="543" t="s">
        <v>824</v>
      </c>
      <c r="E7" s="543" t="s">
        <v>2</v>
      </c>
      <c r="F7" s="533" t="s">
        <v>544</v>
      </c>
      <c r="G7" s="543" t="s">
        <v>1101</v>
      </c>
      <c r="H7" s="533" t="s">
        <v>4</v>
      </c>
      <c r="I7" s="554" t="s">
        <v>541</v>
      </c>
      <c r="J7" s="540" t="s">
        <v>551</v>
      </c>
    </row>
    <row r="8" spans="1:11" ht="18.75" customHeight="1" x14ac:dyDescent="0.25">
      <c r="A8" s="550"/>
      <c r="B8" s="544"/>
      <c r="C8" s="544"/>
      <c r="D8" s="544"/>
      <c r="E8" s="544"/>
      <c r="F8" s="550"/>
      <c r="G8" s="544"/>
      <c r="H8" s="550"/>
      <c r="I8" s="555"/>
      <c r="J8" s="540"/>
    </row>
    <row r="9" spans="1:11" ht="18.75" customHeight="1" x14ac:dyDescent="0.25">
      <c r="A9" s="550"/>
      <c r="B9" s="544"/>
      <c r="C9" s="544"/>
      <c r="D9" s="544"/>
      <c r="E9" s="544"/>
      <c r="F9" s="534"/>
      <c r="G9" s="544"/>
      <c r="H9" s="534"/>
      <c r="I9" s="555"/>
      <c r="J9" s="540"/>
    </row>
    <row r="10" spans="1:11" ht="18.75" customHeight="1" x14ac:dyDescent="0.25">
      <c r="A10" s="534"/>
      <c r="B10" s="545"/>
      <c r="C10" s="545"/>
      <c r="D10" s="545"/>
      <c r="E10" s="545"/>
      <c r="F10" s="348" t="str">
        <f>CONCATENATE("ultimii ",durata_evaluare," ani")</f>
        <v>ultimii 5 ani</v>
      </c>
      <c r="G10" s="545"/>
      <c r="H10" s="348" t="str">
        <f>CONCATENATE("ultimii                                  ",durata_evaluare," ani")</f>
        <v>ultimii                                  5 ani</v>
      </c>
      <c r="I10" s="556"/>
      <c r="J10" s="540"/>
    </row>
    <row r="11" spans="1:11" x14ac:dyDescent="0.25">
      <c r="A11" s="88"/>
      <c r="B11" s="65"/>
      <c r="C11" s="65"/>
      <c r="D11" s="65"/>
      <c r="E11" s="30"/>
      <c r="F11" s="148">
        <f>SUMIF(F12:F1012,"&gt;0")</f>
        <v>0</v>
      </c>
      <c r="G11" s="436"/>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K18" sqref="K18"/>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Ingineria Materialelor și Fabricației</v>
      </c>
      <c r="D3" s="61"/>
      <c r="E3" s="63"/>
      <c r="F3" s="62"/>
      <c r="G3" s="289"/>
    </row>
    <row r="4" spans="1:8" x14ac:dyDescent="0.25">
      <c r="A4" s="535" t="s">
        <v>784</v>
      </c>
      <c r="B4" s="535"/>
      <c r="C4" s="535"/>
      <c r="D4" s="535"/>
      <c r="E4" s="535"/>
      <c r="F4" s="226"/>
      <c r="G4" s="291"/>
    </row>
    <row r="5" spans="1:8" x14ac:dyDescent="0.25">
      <c r="A5" s="535" t="s">
        <v>834</v>
      </c>
      <c r="B5" s="535"/>
      <c r="C5" s="535"/>
      <c r="D5" s="535"/>
      <c r="E5" s="535"/>
      <c r="F5" s="226"/>
    </row>
    <row r="6" spans="1:8" ht="13.5" customHeight="1" x14ac:dyDescent="0.25">
      <c r="D6" s="64"/>
      <c r="E6" s="347" t="str">
        <f>CONCATENATE(functie," ",nume_candidat)</f>
        <v>Conferențiar Codrean Cosmin</v>
      </c>
    </row>
    <row r="7" spans="1:8" ht="18.75" customHeight="1" x14ac:dyDescent="0.25">
      <c r="A7" s="533" t="s">
        <v>338</v>
      </c>
      <c r="B7" s="543" t="s">
        <v>827</v>
      </c>
      <c r="C7" s="543" t="s">
        <v>824</v>
      </c>
      <c r="D7" s="543" t="s">
        <v>2</v>
      </c>
      <c r="E7" s="533" t="s">
        <v>544</v>
      </c>
      <c r="F7" s="533" t="s">
        <v>4</v>
      </c>
      <c r="G7" s="554" t="s">
        <v>541</v>
      </c>
      <c r="H7" s="540" t="s">
        <v>551</v>
      </c>
    </row>
    <row r="8" spans="1:8" ht="18.75" customHeight="1" x14ac:dyDescent="0.25">
      <c r="A8" s="550"/>
      <c r="B8" s="544"/>
      <c r="C8" s="544"/>
      <c r="D8" s="544"/>
      <c r="E8" s="550"/>
      <c r="F8" s="550"/>
      <c r="G8" s="555"/>
      <c r="H8" s="540"/>
    </row>
    <row r="9" spans="1:8" ht="18.75" customHeight="1" x14ac:dyDescent="0.25">
      <c r="A9" s="550"/>
      <c r="B9" s="544"/>
      <c r="C9" s="544"/>
      <c r="D9" s="544"/>
      <c r="E9" s="534"/>
      <c r="F9" s="534"/>
      <c r="G9" s="555"/>
      <c r="H9" s="540"/>
    </row>
    <row r="10" spans="1:8" ht="18.75" customHeight="1" x14ac:dyDescent="0.25">
      <c r="A10" s="534"/>
      <c r="B10" s="545"/>
      <c r="C10" s="545"/>
      <c r="D10" s="545"/>
      <c r="E10" s="348" t="str">
        <f>CONCATENATE("ultimii ",durata_evaluare," ani")</f>
        <v>ultimii 5 ani</v>
      </c>
      <c r="F10" s="348" t="str">
        <f>CONCATENATE("ultimii                                  ",durata_evaluare," ani")</f>
        <v>ultimii                                  5 ani</v>
      </c>
      <c r="G10" s="556"/>
      <c r="H10" s="540"/>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L19" sqref="L19"/>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346" t="str">
        <f>IF(ISBLANK(facultate), IF(ISBLANK(departament),"","Departament " &amp; departament), "Facultatea " &amp; facultate)</f>
        <v>Facultatea Mecanică</v>
      </c>
      <c r="C2" s="61"/>
      <c r="D2" s="63"/>
      <c r="E2" s="50"/>
      <c r="F2" s="62"/>
      <c r="G2" s="289"/>
      <c r="I2"/>
    </row>
    <row r="3" spans="1:9" s="60" customFormat="1" x14ac:dyDescent="0.25">
      <c r="A3" s="346" t="str">
        <f>IF(ISBLANK(departament),"","Departamentul " &amp; departament)</f>
        <v>Departamentul Ingineria Materialelor și Fabricației</v>
      </c>
      <c r="C3" s="61"/>
      <c r="D3" s="63"/>
      <c r="E3" s="50"/>
      <c r="F3" s="62"/>
      <c r="G3" s="289"/>
      <c r="I3"/>
    </row>
    <row r="4" spans="1:9" x14ac:dyDescent="0.25">
      <c r="A4" s="535" t="s">
        <v>784</v>
      </c>
      <c r="B4" s="535"/>
      <c r="C4" s="535"/>
      <c r="D4" s="535"/>
      <c r="E4" s="424"/>
      <c r="F4" s="226"/>
      <c r="G4" s="291"/>
    </row>
    <row r="5" spans="1:9" x14ac:dyDescent="0.25">
      <c r="A5" s="535" t="s">
        <v>832</v>
      </c>
      <c r="B5" s="535"/>
      <c r="C5" s="535"/>
      <c r="D5" s="535"/>
      <c r="E5" s="424"/>
      <c r="F5" s="226"/>
    </row>
    <row r="6" spans="1:9" ht="13.5" customHeight="1" x14ac:dyDescent="0.25">
      <c r="C6" s="64"/>
      <c r="D6" s="347" t="str">
        <f>CONCATENATE(functie," ",nume_candidat)</f>
        <v>Conferențiar Codrean Cosmin</v>
      </c>
      <c r="E6" s="347" t="str">
        <f>CONCATENATE(functie," ",nume_candidat)</f>
        <v>Conferențiar Codrean Cosmin</v>
      </c>
    </row>
    <row r="7" spans="1:9" ht="18.75" customHeight="1" x14ac:dyDescent="0.25">
      <c r="A7" s="533" t="s">
        <v>338</v>
      </c>
      <c r="B7" s="533" t="s">
        <v>833</v>
      </c>
      <c r="C7" s="543" t="s">
        <v>2</v>
      </c>
      <c r="D7" s="533" t="s">
        <v>544</v>
      </c>
      <c r="E7" s="543" t="s">
        <v>1101</v>
      </c>
      <c r="F7" s="533" t="s">
        <v>4</v>
      </c>
      <c r="G7" s="554" t="s">
        <v>541</v>
      </c>
      <c r="H7" s="540" t="s">
        <v>551</v>
      </c>
    </row>
    <row r="8" spans="1:9" ht="18.75" customHeight="1" x14ac:dyDescent="0.25">
      <c r="A8" s="550"/>
      <c r="B8" s="550"/>
      <c r="C8" s="544"/>
      <c r="D8" s="550"/>
      <c r="E8" s="544"/>
      <c r="F8" s="550"/>
      <c r="G8" s="555"/>
      <c r="H8" s="540"/>
    </row>
    <row r="9" spans="1:9" ht="18.75" customHeight="1" x14ac:dyDescent="0.25">
      <c r="A9" s="550"/>
      <c r="B9" s="550"/>
      <c r="C9" s="544"/>
      <c r="D9" s="534"/>
      <c r="E9" s="544"/>
      <c r="F9" s="534"/>
      <c r="G9" s="555"/>
      <c r="H9" s="540"/>
    </row>
    <row r="10" spans="1:9" ht="18.75" customHeight="1" x14ac:dyDescent="0.25">
      <c r="A10" s="534"/>
      <c r="B10" s="534"/>
      <c r="C10" s="545"/>
      <c r="D10" s="348" t="str">
        <f>CONCATENATE("ultimii ",durata_evaluare," ani")</f>
        <v>ultimii 5 ani</v>
      </c>
      <c r="E10" s="545"/>
      <c r="F10" s="348" t="str">
        <f>CONCATENATE("ultimii                                  ",durata_evaluare," ani")</f>
        <v>ultimii                                  5 ani</v>
      </c>
      <c r="G10" s="556"/>
      <c r="H10" s="540"/>
    </row>
    <row r="11" spans="1:9" x14ac:dyDescent="0.25">
      <c r="A11" s="88"/>
      <c r="B11" s="65"/>
      <c r="C11" s="30"/>
      <c r="D11" s="148">
        <f>SUMIF(D12:D1012,"&gt;0")</f>
        <v>20</v>
      </c>
      <c r="E11" s="436"/>
      <c r="F11" s="4">
        <f t="shared" ref="F11" si="0">SUMIF(F12:F110,"&gt;0")</f>
        <v>1</v>
      </c>
      <c r="G11" s="298"/>
    </row>
    <row r="12" spans="1:9" x14ac:dyDescent="0.25">
      <c r="A12" s="37">
        <v>1</v>
      </c>
      <c r="B12" s="7" t="s">
        <v>1281</v>
      </c>
      <c r="C12" s="220">
        <v>2019</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E11" sqref="E11"/>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3"/>
      <c r="F1" s="61"/>
      <c r="G1" s="63"/>
      <c r="H1" s="62"/>
      <c r="I1" s="289"/>
    </row>
    <row r="2" spans="1:10" s="60" customFormat="1" x14ac:dyDescent="0.2">
      <c r="A2" s="346" t="str">
        <f>IF(ISBLANK(facultate), IF(ISBLANK(departament),"","Departament " &amp; departament), "Facultatea " &amp; facultate)</f>
        <v>Facultatea Mecanică</v>
      </c>
      <c r="D2" s="393"/>
      <c r="F2" s="61"/>
      <c r="G2" s="63"/>
      <c r="H2" s="62"/>
      <c r="I2" s="289"/>
    </row>
    <row r="3" spans="1:10" s="60" customFormat="1" x14ac:dyDescent="0.2">
      <c r="A3" s="346" t="str">
        <f>IF(ISBLANK(departament),"","Departamentul " &amp; departament)</f>
        <v>Departamentul Ingineria Materialelor și Fabricației</v>
      </c>
      <c r="D3" s="393"/>
      <c r="F3" s="61"/>
      <c r="G3" s="63"/>
      <c r="H3" s="62"/>
      <c r="I3" s="289"/>
    </row>
    <row r="4" spans="1:10" x14ac:dyDescent="0.25">
      <c r="A4" s="535" t="s">
        <v>903</v>
      </c>
      <c r="B4" s="535"/>
      <c r="C4" s="535"/>
      <c r="D4" s="535"/>
      <c r="E4" s="535"/>
      <c r="F4" s="535"/>
      <c r="G4" s="535"/>
      <c r="H4" s="226"/>
      <c r="I4" s="291"/>
    </row>
    <row r="5" spans="1:10" x14ac:dyDescent="0.25">
      <c r="A5" s="541" t="s">
        <v>1023</v>
      </c>
      <c r="B5" s="535"/>
      <c r="C5" s="535"/>
      <c r="D5" s="535"/>
      <c r="E5" s="535"/>
      <c r="F5" s="535"/>
      <c r="G5" s="535"/>
      <c r="H5" s="226"/>
    </row>
    <row r="6" spans="1:10" ht="13.5" customHeight="1" x14ac:dyDescent="0.25">
      <c r="G6" s="347" t="str">
        <f>CONCATENATE(functie," ",nume_candidat)</f>
        <v>Conferențiar Codrean Cosmin</v>
      </c>
    </row>
    <row r="7" spans="1:10" s="33" customFormat="1" ht="15.75" customHeight="1" x14ac:dyDescent="0.2">
      <c r="A7" s="532" t="s">
        <v>338</v>
      </c>
      <c r="B7" s="532" t="s">
        <v>0</v>
      </c>
      <c r="C7" s="532" t="s">
        <v>1</v>
      </c>
      <c r="D7" s="532" t="s">
        <v>1024</v>
      </c>
      <c r="E7" s="532" t="s">
        <v>904</v>
      </c>
      <c r="F7" s="532" t="s">
        <v>2</v>
      </c>
      <c r="G7" s="533" t="s">
        <v>544</v>
      </c>
      <c r="H7" s="217" t="s">
        <v>4</v>
      </c>
      <c r="I7" s="539" t="s">
        <v>541</v>
      </c>
      <c r="J7" s="542" t="s">
        <v>551</v>
      </c>
    </row>
    <row r="8" spans="1:10" s="33" customFormat="1" ht="31.5" x14ac:dyDescent="0.2">
      <c r="A8" s="532"/>
      <c r="B8" s="532"/>
      <c r="C8" s="532"/>
      <c r="D8" s="532"/>
      <c r="E8" s="532"/>
      <c r="F8" s="532"/>
      <c r="G8" s="534"/>
      <c r="H8" s="348" t="str">
        <f>CONCATENATE("ultimii                                  ",durata_evaluare," ani")</f>
        <v>ultimii                                  5 ani</v>
      </c>
      <c r="I8" s="539"/>
      <c r="J8" s="542"/>
    </row>
    <row r="9" spans="1:10" s="33" customFormat="1" x14ac:dyDescent="0.2">
      <c r="A9" s="88"/>
      <c r="B9" s="65"/>
      <c r="C9" s="65"/>
      <c r="D9" s="65"/>
      <c r="E9" s="65"/>
      <c r="F9" s="162"/>
      <c r="G9" s="148">
        <f>SUMIF(G10:G1010,"&gt;0")</f>
        <v>1575.5</v>
      </c>
      <c r="H9" s="4">
        <f>SUMIF(H10:H1259,"&gt;0")</f>
        <v>9</v>
      </c>
      <c r="I9" s="298"/>
      <c r="J9" s="304"/>
    </row>
    <row r="10" spans="1:10" s="79" customFormat="1" ht="47.25" x14ac:dyDescent="0.25">
      <c r="A10" s="37">
        <v>1</v>
      </c>
      <c r="B10" s="7" t="s">
        <v>1283</v>
      </c>
      <c r="C10" s="7" t="s">
        <v>1282</v>
      </c>
      <c r="D10" s="13" t="s">
        <v>1284</v>
      </c>
      <c r="E10" s="13" t="s">
        <v>908</v>
      </c>
      <c r="F10" s="220">
        <v>2019</v>
      </c>
      <c r="G10" s="16">
        <f>IF(OR($B10="",$C10="",$D10="",$F10&lt;an_initial,$F10&gt;an_final,$I10=FALSE),"",(HLOOKUP(E10,ii11punctaje,2,FALSE))*VLOOKUP(J10,Coef!$E$2:$F$17,2,FALSE))</f>
        <v>210</v>
      </c>
      <c r="H10" s="58">
        <f t="shared" ref="H10:H73" si="0">IF(OR($B10="",$C10="",$D10="",$F10&gt;an_final,$I10=FALSE),"",IF($F10&gt;=an_initial,1,""))</f>
        <v>1</v>
      </c>
      <c r="I10" s="349" t="b">
        <f t="shared" ref="I10:I73" si="1">IF(nume_candidat="",FALSE,ISNUMBER(SEARCH(nume_candidat,$B10)))</f>
        <v>1</v>
      </c>
      <c r="J10" s="357">
        <f t="shared" ref="J10:J41" si="2">LEN(B10)-LEN(SUBSTITUTE(B10,",",""))+1</f>
        <v>4</v>
      </c>
    </row>
    <row r="11" spans="1:10" s="33" customFormat="1" ht="47.25" x14ac:dyDescent="0.2">
      <c r="A11" s="37">
        <v>2</v>
      </c>
      <c r="B11" s="7" t="s">
        <v>1287</v>
      </c>
      <c r="C11" s="7" t="s">
        <v>1285</v>
      </c>
      <c r="D11" s="380" t="s">
        <v>1286</v>
      </c>
      <c r="E11" s="7" t="s">
        <v>908</v>
      </c>
      <c r="F11" s="220">
        <v>2019</v>
      </c>
      <c r="G11" s="16">
        <f>IF(OR($B11="",$C11="",$D11="",$F11&lt;an_initial,$F11&gt;an_final,$I11=FALSE),"",(HLOOKUP(E11,ii11punctaje,2,FALSE))*VLOOKUP(J11,Coef!$E$2:$F$17,2,FALSE))</f>
        <v>180</v>
      </c>
      <c r="H11" s="58">
        <f>IF(OR($B11="",$C11="",$D11="",$F11&gt;an_final,$I11=FALSE),"",IF($F11&gt;=an_initial,1,""))</f>
        <v>1</v>
      </c>
      <c r="I11" s="349" t="b">
        <f t="shared" si="1"/>
        <v>1</v>
      </c>
      <c r="J11" s="357">
        <f t="shared" si="2"/>
        <v>5</v>
      </c>
    </row>
    <row r="12" spans="1:10" s="33" customFormat="1" ht="63" x14ac:dyDescent="0.2">
      <c r="A12" s="37">
        <v>3</v>
      </c>
      <c r="B12" s="6" t="s">
        <v>1289</v>
      </c>
      <c r="C12" s="7" t="s">
        <v>1288</v>
      </c>
      <c r="D12" s="380" t="s">
        <v>1290</v>
      </c>
      <c r="E12" s="196" t="s">
        <v>905</v>
      </c>
      <c r="F12" s="220">
        <v>2019</v>
      </c>
      <c r="G12" s="16">
        <f>IF(OR($B12="",$C12="",$D12="",$F12&lt;an_initial,$F12&gt;an_final,$I12=FALSE),"",(HLOOKUP(E12,ii11punctaje,2,FALSE))*VLOOKUP(J12,Coef!$E$2:$F$17,2,FALSE))</f>
        <v>540</v>
      </c>
      <c r="H12" s="58">
        <f>IF(OR($B12="",$C12="",$D12="",$F12&gt;an_final,$I12=FALSE),"",IF($F12&gt;=an_initial,1,""))</f>
        <v>1</v>
      </c>
      <c r="I12" s="349" t="b">
        <f t="shared" si="1"/>
        <v>1</v>
      </c>
      <c r="J12" s="357">
        <f t="shared" si="2"/>
        <v>5</v>
      </c>
    </row>
    <row r="13" spans="1:10" s="33" customFormat="1" ht="63" x14ac:dyDescent="0.2">
      <c r="A13" s="37">
        <v>4</v>
      </c>
      <c r="B13" s="6" t="s">
        <v>1291</v>
      </c>
      <c r="C13" s="6" t="s">
        <v>1292</v>
      </c>
      <c r="D13" s="6" t="s">
        <v>1293</v>
      </c>
      <c r="E13" s="6" t="s">
        <v>906</v>
      </c>
      <c r="F13" s="217">
        <v>2019</v>
      </c>
      <c r="G13" s="16">
        <f>IF(OR($B13="",$C13="",$D13="",$F13&lt;an_initial,$F13&gt;an_final,$I13=FALSE),"",(HLOOKUP(E13,ii11punctaje,2,FALSE))*VLOOKUP(J13,Coef!$E$2:$F$17,2,FALSE))</f>
        <v>375</v>
      </c>
      <c r="H13" s="58">
        <f t="shared" si="0"/>
        <v>1</v>
      </c>
      <c r="I13" s="349" t="b">
        <f t="shared" si="1"/>
        <v>1</v>
      </c>
      <c r="J13" s="357">
        <f t="shared" si="2"/>
        <v>7</v>
      </c>
    </row>
    <row r="14" spans="1:10" s="33" customFormat="1" ht="47.25" x14ac:dyDescent="0.2">
      <c r="A14" s="37">
        <v>5</v>
      </c>
      <c r="B14" s="6" t="s">
        <v>1295</v>
      </c>
      <c r="C14" s="6" t="s">
        <v>1294</v>
      </c>
      <c r="D14" s="6" t="s">
        <v>1296</v>
      </c>
      <c r="E14" s="6" t="s">
        <v>911</v>
      </c>
      <c r="F14" s="217">
        <v>2019</v>
      </c>
      <c r="G14" s="16">
        <f>IF(OR($B14="",$C14="",$D14="",$F14&lt;an_initial,$F14&gt;an_final,$I14=FALSE),"",(HLOOKUP(E14,ii11punctaje,2,FALSE))*VLOOKUP(J14,Coef!$E$2:$F$17,2,FALSE))</f>
        <v>18</v>
      </c>
      <c r="H14" s="58">
        <f t="shared" si="0"/>
        <v>1</v>
      </c>
      <c r="I14" s="349" t="b">
        <f t="shared" si="1"/>
        <v>1</v>
      </c>
      <c r="J14" s="357">
        <f t="shared" si="2"/>
        <v>5</v>
      </c>
    </row>
    <row r="15" spans="1:10" s="33" customFormat="1" ht="78.75" x14ac:dyDescent="0.2">
      <c r="A15" s="37">
        <v>6</v>
      </c>
      <c r="B15" s="6" t="s">
        <v>1297</v>
      </c>
      <c r="C15" s="6" t="s">
        <v>1298</v>
      </c>
      <c r="D15" s="6" t="s">
        <v>1299</v>
      </c>
      <c r="E15" s="6" t="s">
        <v>912</v>
      </c>
      <c r="F15" s="217">
        <v>2016</v>
      </c>
      <c r="G15" s="16">
        <f>IF(OR($B15="",$C15="",$D15="",$F15&lt;an_initial,$F15&gt;an_final,$I15=FALSE),"",(HLOOKUP(E15,ii11punctaje,2,FALSE))*VLOOKUP(J15,Coef!$E$2:$F$17,2,FALSE))</f>
        <v>12</v>
      </c>
      <c r="H15" s="58">
        <f t="shared" si="0"/>
        <v>1</v>
      </c>
      <c r="I15" s="349" t="b">
        <f t="shared" si="1"/>
        <v>1</v>
      </c>
      <c r="J15" s="357">
        <f t="shared" si="2"/>
        <v>3</v>
      </c>
    </row>
    <row r="16" spans="1:10" s="33" customFormat="1" ht="63" x14ac:dyDescent="0.2">
      <c r="A16" s="37">
        <v>7</v>
      </c>
      <c r="B16" s="6" t="s">
        <v>1300</v>
      </c>
      <c r="C16" s="6" t="s">
        <v>1301</v>
      </c>
      <c r="D16" s="6" t="s">
        <v>1302</v>
      </c>
      <c r="E16" s="6" t="s">
        <v>908</v>
      </c>
      <c r="F16" s="217">
        <v>2015</v>
      </c>
      <c r="G16" s="16">
        <f>IF(OR($B16="",$C16="",$D16="",$F16&lt;an_initial,$F16&gt;an_final,$I16=FALSE),"",(HLOOKUP(E16,ii11punctaje,2,FALSE))*VLOOKUP(J16,Coef!$E$2:$F$17,2,FALSE))</f>
        <v>180</v>
      </c>
      <c r="H16" s="58">
        <f t="shared" si="0"/>
        <v>1</v>
      </c>
      <c r="I16" s="349" t="b">
        <f t="shared" si="1"/>
        <v>1</v>
      </c>
      <c r="J16" s="357">
        <f t="shared" si="2"/>
        <v>5</v>
      </c>
    </row>
    <row r="17" spans="1:10" s="33" customFormat="1" ht="94.5" x14ac:dyDescent="0.2">
      <c r="A17" s="37">
        <v>8</v>
      </c>
      <c r="B17" s="6" t="s">
        <v>1303</v>
      </c>
      <c r="C17" s="6" t="s">
        <v>1304</v>
      </c>
      <c r="D17" s="6" t="s">
        <v>1305</v>
      </c>
      <c r="E17" s="6" t="s">
        <v>909</v>
      </c>
      <c r="F17" s="217">
        <v>2015</v>
      </c>
      <c r="G17" s="16">
        <f>IF(OR($B17="",$C17="",$D17="",$F17&lt;an_initial,$F17&gt;an_final,$I17=FALSE),"",(HLOOKUP(E17,ii11punctaje,2,FALSE))*VLOOKUP(J17,Coef!$E$2:$F$17,2,FALSE))</f>
        <v>50</v>
      </c>
      <c r="H17" s="58">
        <f t="shared" si="0"/>
        <v>1</v>
      </c>
      <c r="I17" s="349" t="b">
        <f t="shared" si="1"/>
        <v>1</v>
      </c>
      <c r="J17" s="357">
        <f t="shared" si="2"/>
        <v>7</v>
      </c>
    </row>
    <row r="18" spans="1:10" s="33" customFormat="1" ht="78.75" x14ac:dyDescent="0.2">
      <c r="A18" s="37">
        <v>9</v>
      </c>
      <c r="B18" s="6" t="s">
        <v>1306</v>
      </c>
      <c r="C18" s="6" t="s">
        <v>1307</v>
      </c>
      <c r="D18" s="6" t="s">
        <v>1308</v>
      </c>
      <c r="E18" s="6" t="s">
        <v>912</v>
      </c>
      <c r="F18" s="217">
        <v>2015</v>
      </c>
      <c r="G18" s="16">
        <f>IF(OR($B18="",$C18="",$D18="",$F18&lt;an_initial,$F18&gt;an_final,$I18=FALSE),"",(HLOOKUP(E18,ii11punctaje,2,FALSE))*VLOOKUP(J18,Coef!$E$2:$F$17,2,FALSE))</f>
        <v>10.5</v>
      </c>
      <c r="H18" s="58">
        <f t="shared" si="0"/>
        <v>1</v>
      </c>
      <c r="I18" s="349" t="b">
        <f t="shared" si="1"/>
        <v>1</v>
      </c>
      <c r="J18" s="357">
        <f t="shared" si="2"/>
        <v>4</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topLeftCell="A4" zoomScaleNormal="100" workbookViewId="0">
      <selection activeCell="L10" sqref="L10"/>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46" t="str">
        <f>IF(ISBLANK(facultate), IF(ISBLANK(departament),"","Departament " &amp; departament), "Facultatea " &amp; facultate)</f>
        <v>Facultatea Mecanică</v>
      </c>
      <c r="F2" s="61"/>
      <c r="G2" s="63"/>
      <c r="H2" s="62"/>
      <c r="I2" s="289"/>
    </row>
    <row r="3" spans="1:10" s="60" customFormat="1" x14ac:dyDescent="0.2">
      <c r="A3" s="346" t="str">
        <f>IF(ISBLANK(departament),"","Departamentul " &amp; departament)</f>
        <v>Departamentul Ingineria Materialelor și Fabricației</v>
      </c>
      <c r="F3" s="61"/>
      <c r="G3" s="63"/>
      <c r="H3" s="62"/>
      <c r="I3" s="289"/>
    </row>
    <row r="4" spans="1:10" x14ac:dyDescent="0.25">
      <c r="A4" s="535" t="s">
        <v>903</v>
      </c>
      <c r="B4" s="535"/>
      <c r="C4" s="535"/>
      <c r="D4" s="535"/>
      <c r="E4" s="535"/>
      <c r="F4" s="535"/>
      <c r="G4" s="535"/>
      <c r="H4" s="226"/>
      <c r="I4" s="291"/>
    </row>
    <row r="5" spans="1:10" x14ac:dyDescent="0.25">
      <c r="A5" s="541" t="s">
        <v>1018</v>
      </c>
      <c r="B5" s="535"/>
      <c r="C5" s="535"/>
      <c r="D5" s="535"/>
      <c r="E5" s="535"/>
      <c r="F5" s="535"/>
      <c r="G5" s="535"/>
      <c r="H5" s="226"/>
    </row>
    <row r="6" spans="1:10" ht="13.5" customHeight="1" x14ac:dyDescent="0.25">
      <c r="G6" s="347" t="str">
        <f>CONCATENATE(functie," ",nume_candidat)</f>
        <v>Conferențiar Codrean Cosmin</v>
      </c>
    </row>
    <row r="7" spans="1:10" s="33" customFormat="1" ht="15.75" customHeight="1" x14ac:dyDescent="0.2">
      <c r="A7" s="532" t="s">
        <v>338</v>
      </c>
      <c r="B7" s="532" t="s">
        <v>0</v>
      </c>
      <c r="C7" s="532" t="s">
        <v>1</v>
      </c>
      <c r="D7" s="532" t="s">
        <v>1024</v>
      </c>
      <c r="E7" s="532" t="s">
        <v>1026</v>
      </c>
      <c r="F7" s="532" t="s">
        <v>2</v>
      </c>
      <c r="G7" s="533" t="s">
        <v>544</v>
      </c>
      <c r="H7" s="217" t="s">
        <v>4</v>
      </c>
      <c r="I7" s="539" t="s">
        <v>541</v>
      </c>
      <c r="J7" s="542" t="s">
        <v>551</v>
      </c>
    </row>
    <row r="8" spans="1:10" s="33" customFormat="1" ht="31.5" x14ac:dyDescent="0.2">
      <c r="A8" s="532"/>
      <c r="B8" s="532"/>
      <c r="C8" s="532"/>
      <c r="D8" s="532"/>
      <c r="E8" s="532"/>
      <c r="F8" s="532"/>
      <c r="G8" s="534"/>
      <c r="H8" s="348" t="str">
        <f>CONCATENATE("ultimii                                  ",durata_evaluare," ani")</f>
        <v>ultimii                                  5 ani</v>
      </c>
      <c r="I8" s="539"/>
      <c r="J8" s="542"/>
    </row>
    <row r="9" spans="1:10" s="33" customFormat="1" x14ac:dyDescent="0.2">
      <c r="A9" s="88"/>
      <c r="B9" s="65"/>
      <c r="C9" s="65"/>
      <c r="D9" s="65"/>
      <c r="E9" s="65"/>
      <c r="F9" s="162"/>
      <c r="G9" s="148">
        <f>SUMIF(G10:G1010,"&gt;0")</f>
        <v>336</v>
      </c>
      <c r="H9" s="4">
        <f>SUMIF(H10:H1259,"&gt;0")</f>
        <v>6</v>
      </c>
      <c r="I9" s="298"/>
      <c r="J9" s="304"/>
    </row>
    <row r="10" spans="1:10" s="79" customFormat="1" ht="31.5" x14ac:dyDescent="0.25">
      <c r="A10" s="37">
        <v>1</v>
      </c>
      <c r="B10" s="7" t="s">
        <v>1309</v>
      </c>
      <c r="C10" s="7" t="s">
        <v>1310</v>
      </c>
      <c r="D10" s="380" t="s">
        <v>1311</v>
      </c>
      <c r="E10" s="13" t="s">
        <v>93</v>
      </c>
      <c r="F10" s="220">
        <v>2017</v>
      </c>
      <c r="G10" s="16">
        <f>IF(OR($B10="",$C10="",$E10="",$F10&lt;an_initial,$F10&gt;an_final,$I10=FALSE),"",80*VLOOKUP(J10,Coef!$E$2:$F$17,2,FALSE))</f>
        <v>56</v>
      </c>
      <c r="H10" s="58">
        <f t="shared" ref="H10:H73" si="0">IF(OR($B10="",$C10="",$E10="",$F10&gt;an_final,$I10=FALSE),"",IF($F10&gt;=an_initial,1,""))</f>
        <v>1</v>
      </c>
      <c r="I10" s="349" t="b">
        <f t="shared" ref="I10:I73" si="1">IF(nume_candidat="",FALSE,ISNUMBER(SEARCH(nume_candidat,$B10)))</f>
        <v>1</v>
      </c>
      <c r="J10" s="357">
        <f t="shared" ref="J10:J41" si="2">LEN(B10)-LEN(SUBSTITUTE(B10,",",""))+1</f>
        <v>4</v>
      </c>
    </row>
    <row r="11" spans="1:10" s="33" customFormat="1" ht="31.5" x14ac:dyDescent="0.2">
      <c r="A11" s="37">
        <v>2</v>
      </c>
      <c r="B11" s="7" t="s">
        <v>1312</v>
      </c>
      <c r="C11" s="7" t="s">
        <v>1313</v>
      </c>
      <c r="D11" s="380" t="s">
        <v>1314</v>
      </c>
      <c r="E11" s="7" t="s">
        <v>93</v>
      </c>
      <c r="F11" s="220">
        <v>2016</v>
      </c>
      <c r="G11" s="16">
        <f>IF(OR($B11="",$C11="",$E11="",$F11&lt;an_initial,$F11&gt;an_final,$I11=FALSE),"",80*VLOOKUP(J11,Coef!$E$2:$F$17,2,FALSE))</f>
        <v>64</v>
      </c>
      <c r="H11" s="58">
        <f t="shared" si="0"/>
        <v>1</v>
      </c>
      <c r="I11" s="349" t="b">
        <f t="shared" si="1"/>
        <v>1</v>
      </c>
      <c r="J11" s="357">
        <f t="shared" si="2"/>
        <v>3</v>
      </c>
    </row>
    <row r="12" spans="1:10" s="33" customFormat="1" ht="47.25" x14ac:dyDescent="0.2">
      <c r="A12" s="37">
        <v>3</v>
      </c>
      <c r="B12" s="6" t="s">
        <v>1315</v>
      </c>
      <c r="C12" s="7" t="s">
        <v>1316</v>
      </c>
      <c r="D12" s="380" t="s">
        <v>1317</v>
      </c>
      <c r="E12" s="6" t="s">
        <v>93</v>
      </c>
      <c r="F12" s="220">
        <v>2016</v>
      </c>
      <c r="G12" s="16">
        <f>IF(OR($B12="",$C12="",$E12="",$F12&lt;an_initial,$F12&gt;an_final,$I12=FALSE),"",80*VLOOKUP(J12,Coef!$E$2:$F$17,2,FALSE))</f>
        <v>56</v>
      </c>
      <c r="H12" s="58">
        <f t="shared" si="0"/>
        <v>1</v>
      </c>
      <c r="I12" s="349" t="b">
        <f t="shared" si="1"/>
        <v>1</v>
      </c>
      <c r="J12" s="357">
        <f t="shared" si="2"/>
        <v>4</v>
      </c>
    </row>
    <row r="13" spans="1:10" s="33" customFormat="1" ht="47.25" x14ac:dyDescent="0.2">
      <c r="A13" s="37">
        <v>4</v>
      </c>
      <c r="B13" s="6" t="s">
        <v>1318</v>
      </c>
      <c r="C13" s="6" t="s">
        <v>1319</v>
      </c>
      <c r="D13" s="6" t="s">
        <v>1320</v>
      </c>
      <c r="E13" s="6" t="s">
        <v>93</v>
      </c>
      <c r="F13" s="217">
        <v>2016</v>
      </c>
      <c r="G13" s="16">
        <f>IF(OR($B13="",$C13="",$E13="",$F13&lt;an_initial,$F13&gt;an_final,$I13=FALSE),"",80*VLOOKUP(J13,Coef!$E$2:$F$17,2,FALSE))</f>
        <v>48</v>
      </c>
      <c r="H13" s="58">
        <f t="shared" si="0"/>
        <v>1</v>
      </c>
      <c r="I13" s="349" t="b">
        <f t="shared" si="1"/>
        <v>1</v>
      </c>
      <c r="J13" s="357">
        <f t="shared" si="2"/>
        <v>5</v>
      </c>
    </row>
    <row r="14" spans="1:10" s="33" customFormat="1" ht="47.25" x14ac:dyDescent="0.2">
      <c r="A14" s="37">
        <v>5</v>
      </c>
      <c r="B14" s="6" t="s">
        <v>1321</v>
      </c>
      <c r="C14" s="6" t="s">
        <v>1322</v>
      </c>
      <c r="D14" s="6" t="s">
        <v>1323</v>
      </c>
      <c r="E14" s="6" t="s">
        <v>93</v>
      </c>
      <c r="F14" s="217">
        <v>2016</v>
      </c>
      <c r="G14" s="16">
        <f>IF(OR($B14="",$C14="",$E14="",$F14&lt;an_initial,$F14&gt;an_final,$I14=FALSE),"",80*VLOOKUP(J14,Coef!$E$2:$F$17,2,FALSE))</f>
        <v>40</v>
      </c>
      <c r="H14" s="58">
        <f t="shared" si="0"/>
        <v>1</v>
      </c>
      <c r="I14" s="349" t="b">
        <f t="shared" si="1"/>
        <v>1</v>
      </c>
      <c r="J14" s="357">
        <f t="shared" si="2"/>
        <v>6</v>
      </c>
    </row>
    <row r="15" spans="1:10" s="33" customFormat="1" ht="47.25" x14ac:dyDescent="0.2">
      <c r="A15" s="37">
        <v>6</v>
      </c>
      <c r="B15" s="6" t="s">
        <v>1324</v>
      </c>
      <c r="C15" s="6" t="s">
        <v>1325</v>
      </c>
      <c r="D15" s="6" t="s">
        <v>1326</v>
      </c>
      <c r="E15" s="6" t="s">
        <v>93</v>
      </c>
      <c r="F15" s="217">
        <v>2015</v>
      </c>
      <c r="G15" s="16">
        <f>IF(OR($B15="",$C15="",$E15="",$F15&lt;an_initial,$F15&gt;an_final,$I15=FALSE),"",80*VLOOKUP(J15,Coef!$E$2:$F$17,2,FALSE))</f>
        <v>72</v>
      </c>
      <c r="H15" s="58">
        <f t="shared" si="0"/>
        <v>1</v>
      </c>
      <c r="I15" s="349" t="b">
        <f t="shared" si="1"/>
        <v>1</v>
      </c>
      <c r="J15" s="357">
        <f t="shared" si="2"/>
        <v>2</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1022</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5" t="s">
        <v>536</v>
      </c>
      <c r="B9" s="167"/>
      <c r="F9" t="s">
        <v>507</v>
      </c>
      <c r="J9" t="s">
        <v>518</v>
      </c>
    </row>
    <row r="10" spans="1:10" x14ac:dyDescent="0.25">
      <c r="A10" s="177" t="s">
        <v>537</v>
      </c>
      <c r="B10" s="178">
        <v>2015</v>
      </c>
      <c r="F10" t="s">
        <v>508</v>
      </c>
      <c r="J10" t="s">
        <v>519</v>
      </c>
    </row>
    <row r="11" spans="1:10" x14ac:dyDescent="0.25">
      <c r="A11" s="177" t="s">
        <v>538</v>
      </c>
      <c r="B11" s="178">
        <v>2019</v>
      </c>
      <c r="F11" t="s">
        <v>509</v>
      </c>
      <c r="J11" t="s">
        <v>520</v>
      </c>
    </row>
    <row r="12" spans="1:10" x14ac:dyDescent="0.25">
      <c r="A12" s="179" t="s">
        <v>539</v>
      </c>
      <c r="B12" s="180">
        <f>an_final-an_initial+1</f>
        <v>5</v>
      </c>
      <c r="J12" t="s">
        <v>521</v>
      </c>
    </row>
    <row r="13" spans="1:10" x14ac:dyDescent="0.25">
      <c r="J13" t="s">
        <v>522</v>
      </c>
    </row>
    <row r="14" spans="1:10" x14ac:dyDescent="0.25">
      <c r="J14" t="s">
        <v>523</v>
      </c>
    </row>
    <row r="15" spans="1:10" x14ac:dyDescent="0.25">
      <c r="A15" s="165" t="s">
        <v>802</v>
      </c>
      <c r="B15" s="166"/>
      <c r="C15" s="167"/>
      <c r="J15" t="s">
        <v>524</v>
      </c>
    </row>
    <row r="16" spans="1:10" x14ac:dyDescent="0.25">
      <c r="A16" s="168"/>
      <c r="B16" s="169" t="s">
        <v>815</v>
      </c>
      <c r="C16" s="170" t="s">
        <v>816</v>
      </c>
      <c r="J16" t="s">
        <v>525</v>
      </c>
    </row>
    <row r="17" spans="1:10" x14ac:dyDescent="0.25">
      <c r="A17" s="171" t="s">
        <v>811</v>
      </c>
      <c r="B17" s="172">
        <v>100</v>
      </c>
      <c r="C17" s="173">
        <v>50</v>
      </c>
      <c r="J17" t="s">
        <v>526</v>
      </c>
    </row>
    <row r="18" spans="1:10" x14ac:dyDescent="0.25">
      <c r="A18" s="171" t="s">
        <v>812</v>
      </c>
      <c r="B18" s="172">
        <v>50</v>
      </c>
      <c r="C18" s="173">
        <v>25</v>
      </c>
      <c r="J18" t="s">
        <v>527</v>
      </c>
    </row>
    <row r="19" spans="1:10" x14ac:dyDescent="0.25">
      <c r="A19" s="174" t="s">
        <v>813</v>
      </c>
      <c r="B19" s="175">
        <v>25</v>
      </c>
      <c r="C19" s="176">
        <v>10</v>
      </c>
      <c r="J19" t="s">
        <v>528</v>
      </c>
    </row>
    <row r="20" spans="1:10" x14ac:dyDescent="0.25">
      <c r="J20" t="s">
        <v>529</v>
      </c>
    </row>
    <row r="21" spans="1:10" x14ac:dyDescent="0.25">
      <c r="A21" s="165" t="s">
        <v>818</v>
      </c>
      <c r="B21" s="166"/>
      <c r="C21" s="166"/>
      <c r="D21" s="166"/>
      <c r="E21" s="167"/>
      <c r="J21" t="s">
        <v>530</v>
      </c>
    </row>
    <row r="22" spans="1:10" x14ac:dyDescent="0.25">
      <c r="A22" s="174"/>
      <c r="B22" s="169" t="s">
        <v>819</v>
      </c>
      <c r="C22" s="169" t="s">
        <v>820</v>
      </c>
      <c r="D22" s="169" t="s">
        <v>821</v>
      </c>
      <c r="E22" s="170" t="s">
        <v>822</v>
      </c>
      <c r="J22" t="s">
        <v>531</v>
      </c>
    </row>
    <row r="23" spans="1:10" x14ac:dyDescent="0.25">
      <c r="A23" s="174" t="s">
        <v>811</v>
      </c>
      <c r="B23" s="172">
        <v>100</v>
      </c>
      <c r="C23" s="172">
        <v>90</v>
      </c>
      <c r="D23" s="172">
        <v>80</v>
      </c>
      <c r="E23" s="173">
        <v>70</v>
      </c>
      <c r="J23" t="s">
        <v>532</v>
      </c>
    </row>
    <row r="24" spans="1:10" x14ac:dyDescent="0.25">
      <c r="A24" s="171" t="s">
        <v>812</v>
      </c>
      <c r="B24" s="175">
        <v>50</v>
      </c>
      <c r="C24" s="175">
        <v>45</v>
      </c>
      <c r="D24" s="175">
        <v>40</v>
      </c>
      <c r="E24" s="176">
        <v>35</v>
      </c>
      <c r="J24" t="s">
        <v>533</v>
      </c>
    </row>
    <row r="25" spans="1:10" x14ac:dyDescent="0.25">
      <c r="J25" t="s">
        <v>534</v>
      </c>
    </row>
    <row r="26" spans="1:10" x14ac:dyDescent="0.25">
      <c r="A26" s="165" t="s">
        <v>826</v>
      </c>
      <c r="B26" s="166"/>
      <c r="C26" s="167"/>
      <c r="J26" t="s">
        <v>1060</v>
      </c>
    </row>
    <row r="27" spans="1:10" x14ac:dyDescent="0.25">
      <c r="A27" s="177" t="s">
        <v>828</v>
      </c>
      <c r="B27" s="182" t="s">
        <v>829</v>
      </c>
      <c r="C27" s="178" t="s">
        <v>830</v>
      </c>
      <c r="J27" t="s">
        <v>535</v>
      </c>
    </row>
    <row r="28" spans="1:10" x14ac:dyDescent="0.25">
      <c r="A28" s="179">
        <v>50</v>
      </c>
      <c r="B28" s="183">
        <v>25</v>
      </c>
      <c r="C28" s="180">
        <v>10</v>
      </c>
    </row>
    <row r="30" spans="1:10" x14ac:dyDescent="0.25">
      <c r="A30" s="165" t="s">
        <v>838</v>
      </c>
      <c r="B30" s="166"/>
      <c r="C30" s="167"/>
    </row>
    <row r="31" spans="1:10" x14ac:dyDescent="0.25">
      <c r="A31" s="177" t="s">
        <v>839</v>
      </c>
      <c r="B31" s="182" t="s">
        <v>840</v>
      </c>
      <c r="C31" s="178" t="s">
        <v>841</v>
      </c>
    </row>
    <row r="32" spans="1:10" x14ac:dyDescent="0.25">
      <c r="A32" s="179">
        <v>5</v>
      </c>
      <c r="B32" s="183">
        <v>10</v>
      </c>
      <c r="C32" s="180">
        <v>2</v>
      </c>
    </row>
    <row r="34" spans="1:14" x14ac:dyDescent="0.25">
      <c r="A34" s="165" t="s">
        <v>844</v>
      </c>
      <c r="B34" s="166"/>
      <c r="C34" s="167"/>
    </row>
    <row r="35" spans="1:14" x14ac:dyDescent="0.25">
      <c r="A35" s="177" t="s">
        <v>846</v>
      </c>
      <c r="B35" s="182" t="s">
        <v>847</v>
      </c>
      <c r="C35" s="178" t="s">
        <v>845</v>
      </c>
    </row>
    <row r="36" spans="1:14" x14ac:dyDescent="0.25">
      <c r="A36" s="187">
        <v>50</v>
      </c>
      <c r="B36" s="188">
        <v>20</v>
      </c>
      <c r="C36" s="189">
        <v>5</v>
      </c>
      <c r="N36" s="164"/>
    </row>
    <row r="37" spans="1:14" x14ac:dyDescent="0.25">
      <c r="N37" s="164"/>
    </row>
    <row r="38" spans="1:14" x14ac:dyDescent="0.25">
      <c r="A38" s="165" t="s">
        <v>853</v>
      </c>
      <c r="B38" s="167"/>
      <c r="N38" s="164"/>
    </row>
    <row r="39" spans="1:14" x14ac:dyDescent="0.25">
      <c r="A39" s="177" t="s">
        <v>851</v>
      </c>
      <c r="B39" s="178" t="s">
        <v>852</v>
      </c>
    </row>
    <row r="40" spans="1:14" x14ac:dyDescent="0.25">
      <c r="A40" s="179">
        <v>5</v>
      </c>
      <c r="B40" s="180">
        <v>5</v>
      </c>
    </row>
    <row r="42" spans="1:14" x14ac:dyDescent="0.25">
      <c r="A42" s="190" t="s">
        <v>854</v>
      </c>
      <c r="B42" s="166"/>
      <c r="C42" s="167"/>
    </row>
    <row r="43" spans="1:14" x14ac:dyDescent="0.25">
      <c r="A43" s="177" t="s">
        <v>855</v>
      </c>
      <c r="B43" s="182" t="s">
        <v>856</v>
      </c>
      <c r="C43" s="178" t="s">
        <v>857</v>
      </c>
    </row>
    <row r="44" spans="1:14" x14ac:dyDescent="0.25">
      <c r="A44" s="179">
        <v>10</v>
      </c>
      <c r="B44" s="183">
        <v>10</v>
      </c>
      <c r="C44" s="180">
        <v>5</v>
      </c>
    </row>
    <row r="46" spans="1:14" x14ac:dyDescent="0.25">
      <c r="A46" t="s">
        <v>862</v>
      </c>
    </row>
    <row r="47" spans="1:14" x14ac:dyDescent="0.25">
      <c r="A47" s="164" t="s">
        <v>863</v>
      </c>
      <c r="B47" s="164" t="s">
        <v>864</v>
      </c>
      <c r="C47" s="164" t="s">
        <v>865</v>
      </c>
      <c r="D47" s="164" t="s">
        <v>866</v>
      </c>
    </row>
    <row r="48" spans="1:14" x14ac:dyDescent="0.25">
      <c r="A48" s="191">
        <v>120</v>
      </c>
      <c r="B48" s="191">
        <v>60</v>
      </c>
      <c r="C48" s="191">
        <v>40</v>
      </c>
      <c r="D48" s="191">
        <v>20</v>
      </c>
    </row>
    <row r="50" spans="1:5" x14ac:dyDescent="0.25">
      <c r="A50" t="s">
        <v>870</v>
      </c>
    </row>
    <row r="51" spans="1:5" x14ac:dyDescent="0.25">
      <c r="A51" s="164" t="s">
        <v>863</v>
      </c>
      <c r="B51" s="164" t="s">
        <v>871</v>
      </c>
    </row>
    <row r="52" spans="1:5" x14ac:dyDescent="0.25">
      <c r="A52" s="164">
        <v>200</v>
      </c>
      <c r="B52" s="191">
        <v>50</v>
      </c>
    </row>
    <row r="54" spans="1:5" x14ac:dyDescent="0.25">
      <c r="A54" t="s">
        <v>874</v>
      </c>
    </row>
    <row r="55" spans="1:5" ht="19.5" x14ac:dyDescent="0.25">
      <c r="B55" s="181" t="s">
        <v>754</v>
      </c>
      <c r="C55" s="181" t="s">
        <v>755</v>
      </c>
      <c r="D55" s="181" t="s">
        <v>756</v>
      </c>
    </row>
    <row r="56" spans="1:5" x14ac:dyDescent="0.25">
      <c r="A56" s="191" t="s">
        <v>785</v>
      </c>
      <c r="B56" s="191">
        <v>50</v>
      </c>
      <c r="C56" s="191">
        <v>5</v>
      </c>
      <c r="D56">
        <v>3</v>
      </c>
    </row>
    <row r="57" spans="1:5" x14ac:dyDescent="0.25">
      <c r="A57" s="191" t="s">
        <v>786</v>
      </c>
      <c r="B57" s="191">
        <v>20</v>
      </c>
      <c r="C57" s="191">
        <v>2</v>
      </c>
      <c r="D57">
        <v>3</v>
      </c>
    </row>
    <row r="59" spans="1:5" x14ac:dyDescent="0.25">
      <c r="A59" t="s">
        <v>877</v>
      </c>
    </row>
    <row r="60" spans="1:5" x14ac:dyDescent="0.25">
      <c r="A60" s="164" t="s">
        <v>878</v>
      </c>
      <c r="B60" s="164" t="s">
        <v>462</v>
      </c>
    </row>
    <row r="61" spans="1:5" x14ac:dyDescent="0.25">
      <c r="A61" s="191">
        <v>15</v>
      </c>
      <c r="B61" s="191">
        <v>10</v>
      </c>
    </row>
    <row r="63" spans="1:5" x14ac:dyDescent="0.25">
      <c r="A63" t="s">
        <v>888</v>
      </c>
    </row>
    <row r="64" spans="1:5" x14ac:dyDescent="0.25">
      <c r="A64" t="s">
        <v>884</v>
      </c>
      <c r="B64" t="s">
        <v>885</v>
      </c>
      <c r="C64" t="s">
        <v>886</v>
      </c>
      <c r="D64" t="s">
        <v>887</v>
      </c>
      <c r="E64" t="s">
        <v>883</v>
      </c>
    </row>
    <row r="65" spans="1:8" x14ac:dyDescent="0.25">
      <c r="A65" s="164">
        <v>10</v>
      </c>
      <c r="B65" s="164">
        <v>10</v>
      </c>
      <c r="C65" s="164">
        <v>10</v>
      </c>
      <c r="D65" s="164">
        <v>50</v>
      </c>
      <c r="E65" s="164">
        <v>10</v>
      </c>
    </row>
    <row r="66" spans="1:8" x14ac:dyDescent="0.25">
      <c r="B66" s="164"/>
    </row>
    <row r="67" spans="1:8" x14ac:dyDescent="0.25">
      <c r="A67" t="s">
        <v>893</v>
      </c>
      <c r="B67" s="164"/>
    </row>
    <row r="68" spans="1:8" x14ac:dyDescent="0.25">
      <c r="A68" t="s">
        <v>895</v>
      </c>
      <c r="B68" t="s">
        <v>896</v>
      </c>
      <c r="C68" t="s">
        <v>894</v>
      </c>
    </row>
    <row r="69" spans="1:8" x14ac:dyDescent="0.25">
      <c r="A69" s="164">
        <v>60</v>
      </c>
      <c r="B69" s="164">
        <v>30</v>
      </c>
      <c r="C69" s="164">
        <v>15</v>
      </c>
    </row>
    <row r="70" spans="1:8" x14ac:dyDescent="0.25">
      <c r="B70" s="164"/>
    </row>
    <row r="71" spans="1:8" ht="15.75" customHeight="1" x14ac:dyDescent="0.25">
      <c r="A71" s="161" t="s">
        <v>913</v>
      </c>
      <c r="B71" s="161"/>
      <c r="C71" s="161"/>
      <c r="D71" s="161"/>
      <c r="E71" s="161"/>
      <c r="F71" s="161"/>
      <c r="G71" s="161"/>
      <c r="H71" s="161"/>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61" t="s">
        <v>915</v>
      </c>
    </row>
    <row r="76" spans="1:8" x14ac:dyDescent="0.25">
      <c r="A76" t="s">
        <v>914</v>
      </c>
      <c r="B76" t="s">
        <v>910</v>
      </c>
      <c r="C76" t="s">
        <v>911</v>
      </c>
      <c r="D76" t="s">
        <v>912</v>
      </c>
    </row>
    <row r="77" spans="1:8" x14ac:dyDescent="0.25">
      <c r="A77">
        <v>100</v>
      </c>
      <c r="B77">
        <v>60</v>
      </c>
      <c r="C77">
        <v>30</v>
      </c>
      <c r="D77">
        <v>15</v>
      </c>
    </row>
    <row r="79" spans="1:8" ht="15.75" x14ac:dyDescent="0.25">
      <c r="A79" s="161" t="s">
        <v>926</v>
      </c>
      <c r="B79" s="161"/>
      <c r="C79" s="161"/>
      <c r="D79" s="161"/>
      <c r="E79" s="161"/>
      <c r="F79" s="161"/>
      <c r="G79" s="161"/>
    </row>
    <row r="80" spans="1:8" x14ac:dyDescent="0.25">
      <c r="A80" s="197" t="s">
        <v>919</v>
      </c>
      <c r="B80" s="197" t="s">
        <v>918</v>
      </c>
    </row>
    <row r="81" spans="1:10" x14ac:dyDescent="0.25">
      <c r="A81">
        <v>200</v>
      </c>
      <c r="B81">
        <v>100</v>
      </c>
    </row>
    <row r="83" spans="1:10" ht="15.75" x14ac:dyDescent="0.25">
      <c r="A83" s="199" t="s">
        <v>920</v>
      </c>
      <c r="B83" s="199"/>
      <c r="C83" s="199"/>
      <c r="D83" s="198"/>
      <c r="E83" s="198"/>
      <c r="F83" s="198"/>
      <c r="G83" s="198"/>
      <c r="H83" s="198"/>
      <c r="I83" s="198"/>
    </row>
    <row r="84" spans="1:10" ht="15.75" x14ac:dyDescent="0.25">
      <c r="A84" s="200" t="s">
        <v>548</v>
      </c>
      <c r="B84" s="200" t="s">
        <v>549</v>
      </c>
      <c r="C84" s="201" t="s">
        <v>924</v>
      </c>
      <c r="J84" s="198"/>
    </row>
    <row r="85" spans="1:10" x14ac:dyDescent="0.25">
      <c r="A85" s="202">
        <v>200</v>
      </c>
      <c r="B85" s="202">
        <v>100</v>
      </c>
      <c r="C85" s="202">
        <v>100</v>
      </c>
    </row>
    <row r="87" spans="1:10" ht="15.75" x14ac:dyDescent="0.25">
      <c r="A87" s="161" t="s">
        <v>925</v>
      </c>
      <c r="B87" s="161"/>
      <c r="C87" s="161"/>
      <c r="D87" s="161"/>
      <c r="E87" s="161"/>
      <c r="F87" s="161"/>
      <c r="G87" s="161"/>
    </row>
    <row r="88" spans="1:10" x14ac:dyDescent="0.25">
      <c r="A88" t="s">
        <v>714</v>
      </c>
      <c r="B88" t="s">
        <v>715</v>
      </c>
      <c r="C88" t="s">
        <v>716</v>
      </c>
    </row>
    <row r="89" spans="1:10" x14ac:dyDescent="0.25">
      <c r="A89">
        <v>10</v>
      </c>
      <c r="B89">
        <v>8</v>
      </c>
      <c r="C89">
        <v>3</v>
      </c>
    </row>
    <row r="91" spans="1:10" ht="15.75" x14ac:dyDescent="0.25">
      <c r="A91" s="161" t="s">
        <v>932</v>
      </c>
      <c r="B91" s="161" t="s">
        <v>723</v>
      </c>
    </row>
    <row r="92" spans="1:10" x14ac:dyDescent="0.25">
      <c r="B92" t="s">
        <v>933</v>
      </c>
      <c r="C92" t="s">
        <v>934</v>
      </c>
      <c r="D92" t="s">
        <v>935</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937</v>
      </c>
    </row>
    <row r="100" spans="1:8" x14ac:dyDescent="0.25">
      <c r="B100" t="s">
        <v>933</v>
      </c>
      <c r="C100" t="s">
        <v>934</v>
      </c>
      <c r="D100" t="s">
        <v>935</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1" t="s">
        <v>944</v>
      </c>
      <c r="B106" s="161"/>
      <c r="C106" s="161"/>
      <c r="D106" s="161"/>
      <c r="E106" s="161"/>
      <c r="F106" s="161"/>
      <c r="G106" s="161"/>
      <c r="H106" s="161"/>
    </row>
    <row r="107" spans="1:8" x14ac:dyDescent="0.25">
      <c r="A107" t="s">
        <v>946</v>
      </c>
      <c r="B107" t="s">
        <v>947</v>
      </c>
      <c r="C107" t="s">
        <v>945</v>
      </c>
    </row>
    <row r="108" spans="1:8" x14ac:dyDescent="0.25">
      <c r="A108">
        <v>0.75</v>
      </c>
      <c r="B108">
        <v>0.6</v>
      </c>
      <c r="C108">
        <v>0.5</v>
      </c>
    </row>
    <row r="110" spans="1:8" ht="15.75" customHeight="1" x14ac:dyDescent="0.25">
      <c r="A110" s="161" t="s">
        <v>948</v>
      </c>
      <c r="B110" s="161"/>
      <c r="C110" s="161"/>
      <c r="D110" s="161"/>
      <c r="E110" s="161"/>
      <c r="F110" s="161"/>
      <c r="G110" s="161"/>
      <c r="H110" s="161"/>
    </row>
    <row r="111" spans="1:8" x14ac:dyDescent="0.25">
      <c r="A111" t="s">
        <v>949</v>
      </c>
      <c r="B111" t="s">
        <v>950</v>
      </c>
      <c r="C111" t="s">
        <v>951</v>
      </c>
      <c r="D111" t="s">
        <v>952</v>
      </c>
    </row>
    <row r="112" spans="1:8" x14ac:dyDescent="0.25">
      <c r="A112">
        <v>30</v>
      </c>
      <c r="B112">
        <v>15</v>
      </c>
      <c r="C112">
        <v>10</v>
      </c>
      <c r="D112">
        <v>5</v>
      </c>
    </row>
    <row r="114" spans="1:8" ht="15.75" x14ac:dyDescent="0.25">
      <c r="A114" s="342" t="s">
        <v>954</v>
      </c>
      <c r="B114" s="342"/>
      <c r="C114" s="342"/>
      <c r="D114" s="342"/>
      <c r="E114" s="342"/>
      <c r="F114" s="342"/>
      <c r="G114" s="342"/>
      <c r="H114" s="342"/>
    </row>
    <row r="115" spans="1:8" x14ac:dyDescent="0.25">
      <c r="A115" t="s">
        <v>956</v>
      </c>
      <c r="B115" t="s">
        <v>957</v>
      </c>
      <c r="C115" t="s">
        <v>958</v>
      </c>
      <c r="D115" t="s">
        <v>959</v>
      </c>
    </row>
    <row r="116" spans="1:8" x14ac:dyDescent="0.25">
      <c r="A116">
        <v>0.3</v>
      </c>
      <c r="B116">
        <v>0.4</v>
      </c>
      <c r="C116">
        <v>0.4</v>
      </c>
      <c r="D116">
        <v>0.3</v>
      </c>
    </row>
    <row r="118" spans="1:8" ht="15.75" x14ac:dyDescent="0.25">
      <c r="A118" s="195" t="s">
        <v>974</v>
      </c>
      <c r="B118" s="195"/>
      <c r="C118" s="195"/>
      <c r="D118" s="195"/>
      <c r="E118" s="195"/>
      <c r="F118" s="195"/>
    </row>
    <row r="119" spans="1:8" x14ac:dyDescent="0.25">
      <c r="A119" s="164" t="s">
        <v>964</v>
      </c>
      <c r="B119" s="164" t="s">
        <v>965</v>
      </c>
    </row>
    <row r="120" spans="1:8" x14ac:dyDescent="0.25">
      <c r="A120">
        <v>10</v>
      </c>
      <c r="B120">
        <v>8</v>
      </c>
    </row>
    <row r="122" spans="1:8" x14ac:dyDescent="0.25">
      <c r="A122" t="s">
        <v>1037</v>
      </c>
    </row>
    <row r="123" spans="1:8" ht="19.5" x14ac:dyDescent="0.25">
      <c r="A123" s="191" t="s">
        <v>1039</v>
      </c>
      <c r="B123" s="191" t="s">
        <v>1038</v>
      </c>
      <c r="C123" s="191" t="str">
        <f>CONCATENATE("Sub îndrumarea comisiei care include ",functie," ",nume_candidat)</f>
        <v>Sub îndrumarea comisiei care include Conferențiar Codrean Cosmin</v>
      </c>
    </row>
    <row r="124" spans="1:8" x14ac:dyDescent="0.25">
      <c r="A124">
        <v>50</v>
      </c>
      <c r="B124">
        <v>10</v>
      </c>
      <c r="C124">
        <v>5</v>
      </c>
    </row>
    <row r="126" spans="1:8" ht="15.75" x14ac:dyDescent="0.25">
      <c r="A126" s="195" t="s">
        <v>973</v>
      </c>
      <c r="B126" s="195"/>
      <c r="C126" s="195"/>
      <c r="D126" s="195"/>
      <c r="E126" s="195"/>
    </row>
    <row r="127" spans="1:8" x14ac:dyDescent="0.25">
      <c r="A127" t="s">
        <v>970</v>
      </c>
      <c r="B127" t="s">
        <v>971</v>
      </c>
      <c r="C127" t="s">
        <v>972</v>
      </c>
    </row>
    <row r="128" spans="1:8" x14ac:dyDescent="0.25">
      <c r="A128" s="191">
        <v>20</v>
      </c>
      <c r="B128" s="191">
        <v>5</v>
      </c>
      <c r="C128" s="191">
        <v>2</v>
      </c>
    </row>
    <row r="130" spans="1:12" x14ac:dyDescent="0.25">
      <c r="A130" t="s">
        <v>980</v>
      </c>
    </row>
    <row r="131" spans="1:12" x14ac:dyDescent="0.25">
      <c r="A131" t="s">
        <v>982</v>
      </c>
      <c r="B131" t="s">
        <v>983</v>
      </c>
      <c r="C131" t="s">
        <v>984</v>
      </c>
      <c r="D131" t="s">
        <v>985</v>
      </c>
      <c r="E131" t="s">
        <v>986</v>
      </c>
      <c r="F131" t="s">
        <v>987</v>
      </c>
    </row>
    <row r="132" spans="1:12" x14ac:dyDescent="0.25">
      <c r="A132" s="205">
        <v>50</v>
      </c>
      <c r="B132" s="206">
        <v>25</v>
      </c>
      <c r="C132" s="207">
        <v>10</v>
      </c>
      <c r="D132" s="205">
        <v>20</v>
      </c>
      <c r="E132" s="206">
        <v>10</v>
      </c>
      <c r="F132" s="207">
        <v>5</v>
      </c>
    </row>
    <row r="134" spans="1:12" x14ac:dyDescent="0.25">
      <c r="A134" t="s">
        <v>981</v>
      </c>
    </row>
    <row r="135" spans="1:12" x14ac:dyDescent="0.25">
      <c r="A135" t="s">
        <v>982</v>
      </c>
      <c r="B135" t="s">
        <v>983</v>
      </c>
      <c r="C135" t="s">
        <v>984</v>
      </c>
      <c r="D135" t="s">
        <v>985</v>
      </c>
      <c r="E135" t="s">
        <v>986</v>
      </c>
      <c r="F135" t="s">
        <v>987</v>
      </c>
    </row>
    <row r="136" spans="1:12" x14ac:dyDescent="0.25">
      <c r="A136">
        <v>10</v>
      </c>
      <c r="B136">
        <v>6</v>
      </c>
      <c r="C136">
        <v>4</v>
      </c>
      <c r="D136">
        <v>5</v>
      </c>
      <c r="E136">
        <v>3</v>
      </c>
      <c r="F136">
        <v>2</v>
      </c>
    </row>
    <row r="139" spans="1:12" x14ac:dyDescent="0.25">
      <c r="A139" t="s">
        <v>1002</v>
      </c>
    </row>
    <row r="140" spans="1:12" ht="360" x14ac:dyDescent="0.25">
      <c r="A140" s="208" t="s">
        <v>990</v>
      </c>
      <c r="B140" s="209" t="s">
        <v>991</v>
      </c>
      <c r="C140" s="209" t="s">
        <v>992</v>
      </c>
      <c r="D140" s="210" t="s">
        <v>993</v>
      </c>
      <c r="E140" s="208" t="s">
        <v>994</v>
      </c>
      <c r="F140" s="209" t="s">
        <v>995</v>
      </c>
      <c r="G140" s="209" t="s">
        <v>996</v>
      </c>
      <c r="H140" s="210" t="s">
        <v>997</v>
      </c>
      <c r="I140" s="208" t="s">
        <v>998</v>
      </c>
      <c r="K140" s="209" t="s">
        <v>1000</v>
      </c>
      <c r="L140" s="210" t="s">
        <v>1001</v>
      </c>
    </row>
    <row r="141" spans="1:12" ht="255" x14ac:dyDescent="0.25">
      <c r="A141" s="208">
        <v>400</v>
      </c>
      <c r="B141" s="209">
        <v>200</v>
      </c>
      <c r="C141" s="209">
        <v>100</v>
      </c>
      <c r="D141" s="210">
        <v>50</v>
      </c>
      <c r="E141" s="208">
        <v>200</v>
      </c>
      <c r="F141" s="209">
        <v>100</v>
      </c>
      <c r="G141" s="209">
        <v>50</v>
      </c>
      <c r="H141" s="210">
        <v>25</v>
      </c>
      <c r="I141" s="208">
        <v>20</v>
      </c>
      <c r="J141" s="209" t="s">
        <v>999</v>
      </c>
      <c r="K141" s="209">
        <v>10</v>
      </c>
      <c r="L141" s="210">
        <v>5</v>
      </c>
    </row>
    <row r="142" spans="1:12" x14ac:dyDescent="0.25">
      <c r="J142" s="209">
        <v>10</v>
      </c>
    </row>
    <row r="143" spans="1:12" ht="15.75" x14ac:dyDescent="0.25">
      <c r="A143" s="343" t="s">
        <v>1004</v>
      </c>
      <c r="B143" s="343"/>
      <c r="C143" s="343"/>
      <c r="D143" s="343"/>
      <c r="E143" s="343"/>
    </row>
    <row r="144" spans="1:12" x14ac:dyDescent="0.25">
      <c r="A144" s="206" t="s">
        <v>1005</v>
      </c>
      <c r="B144" s="211" t="s">
        <v>1006</v>
      </c>
    </row>
    <row r="145" spans="1:3" x14ac:dyDescent="0.25">
      <c r="A145" s="206">
        <v>100</v>
      </c>
      <c r="B145" s="207">
        <v>50</v>
      </c>
    </row>
    <row r="147" spans="1:3" ht="30" x14ac:dyDescent="0.25">
      <c r="A147" s="185" t="s">
        <v>1008</v>
      </c>
      <c r="B147" s="186" t="s">
        <v>605</v>
      </c>
      <c r="C147" s="186" t="s">
        <v>605</v>
      </c>
    </row>
    <row r="148" spans="1:3" x14ac:dyDescent="0.25">
      <c r="A148" s="212" t="s">
        <v>1009</v>
      </c>
      <c r="B148" s="212" t="s">
        <v>1010</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5" zoomScaleNormal="100" workbookViewId="0">
      <selection activeCell="B16" sqref="B16"/>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400" t="str">
        <f>IF(ISBLANK(facultate), IF(ISBLANK(departament),"","Departament " &amp; departament), "Facultatea " &amp; facultate)</f>
        <v>Facultatea Mecanică</v>
      </c>
      <c r="F2" s="61"/>
      <c r="G2" s="63"/>
      <c r="H2" s="62"/>
      <c r="I2" s="289"/>
    </row>
    <row r="3" spans="1:10" s="60" customFormat="1" x14ac:dyDescent="0.2">
      <c r="A3" s="400" t="str">
        <f>IF(ISBLANK(departament),"","Departamentul " &amp; departament)</f>
        <v>Departamentul Ingineria Materialelor și Fabricației</v>
      </c>
      <c r="F3" s="61"/>
      <c r="G3" s="63"/>
      <c r="H3" s="62"/>
      <c r="I3" s="289"/>
    </row>
    <row r="4" spans="1:10" x14ac:dyDescent="0.25">
      <c r="A4" s="535" t="s">
        <v>903</v>
      </c>
      <c r="B4" s="535"/>
      <c r="C4" s="535"/>
      <c r="D4" s="535"/>
      <c r="E4" s="535"/>
      <c r="F4" s="535"/>
      <c r="G4" s="535"/>
      <c r="H4" s="226"/>
      <c r="I4" s="291"/>
    </row>
    <row r="5" spans="1:10" ht="15.75" customHeight="1" x14ac:dyDescent="0.25">
      <c r="A5" s="541" t="s">
        <v>922</v>
      </c>
      <c r="B5" s="535"/>
      <c r="C5" s="535"/>
      <c r="D5" s="535"/>
      <c r="E5" s="535"/>
      <c r="F5" s="535"/>
      <c r="G5" s="535"/>
      <c r="H5" s="226"/>
    </row>
    <row r="6" spans="1:10" ht="13.5" customHeight="1" x14ac:dyDescent="0.25">
      <c r="G6" s="369" t="str">
        <f>CONCATENATE(functie," ",nume_candidat)</f>
        <v>Conferențiar Codrean Cosmin</v>
      </c>
    </row>
    <row r="7" spans="1:10" s="33" customFormat="1" ht="15.75" customHeight="1" x14ac:dyDescent="0.2">
      <c r="A7" s="532" t="s">
        <v>338</v>
      </c>
      <c r="B7" s="532" t="s">
        <v>0</v>
      </c>
      <c r="C7" s="532" t="s">
        <v>1</v>
      </c>
      <c r="D7" s="533" t="s">
        <v>1028</v>
      </c>
      <c r="E7" s="533" t="s">
        <v>1027</v>
      </c>
      <c r="F7" s="532" t="s">
        <v>2</v>
      </c>
      <c r="G7" s="533" t="s">
        <v>544</v>
      </c>
      <c r="H7" s="217" t="s">
        <v>4</v>
      </c>
      <c r="I7" s="539" t="s">
        <v>541</v>
      </c>
      <c r="J7" s="542" t="s">
        <v>551</v>
      </c>
    </row>
    <row r="8" spans="1:10" s="33" customFormat="1" ht="31.5" x14ac:dyDescent="0.2">
      <c r="A8" s="532"/>
      <c r="B8" s="532"/>
      <c r="C8" s="532"/>
      <c r="D8" s="534"/>
      <c r="E8" s="534"/>
      <c r="F8" s="532"/>
      <c r="G8" s="534"/>
      <c r="H8" s="370" t="str">
        <f>CONCATENATE("ultimii                                  ",durata_evaluare," ani")</f>
        <v>ultimii                                  5 ani</v>
      </c>
      <c r="I8" s="539"/>
      <c r="J8" s="542"/>
    </row>
    <row r="9" spans="1:10" s="33" customFormat="1" x14ac:dyDescent="0.2">
      <c r="A9" s="88"/>
      <c r="B9" s="65"/>
      <c r="C9" s="65"/>
      <c r="D9" s="65"/>
      <c r="E9" s="65"/>
      <c r="F9" s="162"/>
      <c r="G9" s="356">
        <f>SUMIF(G10:G1010,"&gt;0")</f>
        <v>201</v>
      </c>
      <c r="H9" s="371">
        <f>SUMIF(H10:H1259,"&gt;0")</f>
        <v>6</v>
      </c>
      <c r="I9" s="298"/>
      <c r="J9" s="304"/>
    </row>
    <row r="10" spans="1:10" s="79" customFormat="1" ht="110.25" x14ac:dyDescent="0.25">
      <c r="A10" s="37">
        <v>1</v>
      </c>
      <c r="B10" s="7" t="s">
        <v>1328</v>
      </c>
      <c r="C10" s="7" t="s">
        <v>1327</v>
      </c>
      <c r="D10" s="13" t="s">
        <v>1329</v>
      </c>
      <c r="E10" s="13" t="s">
        <v>914</v>
      </c>
      <c r="F10" s="220">
        <v>2019</v>
      </c>
      <c r="G10" s="356">
        <f>IF(OR($B10="",$C10="",$D10="",$F10&lt;an_initial,$F10&gt;an_final,$I10=FALSE),"",(HLOOKUP(E10,ii12punctaje,2,FALSE))*VLOOKUP(J10,Coef!$E$2:$F$17,2,FALSE))</f>
        <v>60</v>
      </c>
      <c r="H10" s="372">
        <f t="shared" ref="H10:H73" si="0">IF(OR($B10="",$C10="",$D10="",$F10&gt;an_final,$I10=FALSE),"",IF($F10&gt;=an_initial,1,""))</f>
        <v>1</v>
      </c>
      <c r="I10" s="373" t="b">
        <f t="shared" ref="I10:I73" si="1">IF(nume_candidat="",FALSE,ISNUMBER(SEARCH(nume_candidat,$B10)))</f>
        <v>1</v>
      </c>
      <c r="J10" s="374">
        <f t="shared" ref="J10:J41" si="2">LEN(B10)-LEN(SUBSTITUTE(B10,",",""))+1</f>
        <v>5</v>
      </c>
    </row>
    <row r="11" spans="1:10" s="33" customFormat="1" ht="78.75" x14ac:dyDescent="0.2">
      <c r="A11" s="37">
        <v>2</v>
      </c>
      <c r="B11" s="7" t="s">
        <v>1331</v>
      </c>
      <c r="C11" s="7" t="s">
        <v>1330</v>
      </c>
      <c r="D11" s="7" t="s">
        <v>1332</v>
      </c>
      <c r="E11" s="7" t="s">
        <v>910</v>
      </c>
      <c r="F11" s="220">
        <v>2019</v>
      </c>
      <c r="G11" s="356">
        <f>IF(OR($B11="",$C11="",$D11="",$F11&lt;an_initial,$F11&gt;an_final,$I11=FALSE),"",(HLOOKUP(E11,ii12punctaje,2,FALSE))*VLOOKUP(J11,Coef!$E$2:$F$17,2,FALSE))</f>
        <v>36</v>
      </c>
      <c r="H11" s="372">
        <f t="shared" si="0"/>
        <v>1</v>
      </c>
      <c r="I11" s="373" t="b">
        <f t="shared" si="1"/>
        <v>1</v>
      </c>
      <c r="J11" s="374">
        <f t="shared" si="2"/>
        <v>5</v>
      </c>
    </row>
    <row r="12" spans="1:10" s="33" customFormat="1" ht="110.25" x14ac:dyDescent="0.2">
      <c r="A12" s="37">
        <v>3</v>
      </c>
      <c r="B12" s="6" t="s">
        <v>1333</v>
      </c>
      <c r="C12" s="7" t="s">
        <v>1334</v>
      </c>
      <c r="D12" s="6" t="s">
        <v>1335</v>
      </c>
      <c r="E12" s="196" t="s">
        <v>910</v>
      </c>
      <c r="F12" s="220">
        <v>2018</v>
      </c>
      <c r="G12" s="356">
        <f>IF(OR($B12="",$C12="",$D12="",$F12&lt;an_initial,$F12&gt;an_final,$I12=FALSE),"",(HLOOKUP(E12,ii12punctaje,2,FALSE))*VLOOKUP(J12,Coef!$E$2:$F$17,2,FALSE))</f>
        <v>42</v>
      </c>
      <c r="H12" s="372">
        <f t="shared" si="0"/>
        <v>1</v>
      </c>
      <c r="I12" s="373" t="b">
        <f t="shared" si="1"/>
        <v>1</v>
      </c>
      <c r="J12" s="374">
        <f t="shared" si="2"/>
        <v>4</v>
      </c>
    </row>
    <row r="13" spans="1:10" s="33" customFormat="1" ht="110.25" x14ac:dyDescent="0.2">
      <c r="A13" s="37">
        <v>4</v>
      </c>
      <c r="B13" s="6" t="s">
        <v>1336</v>
      </c>
      <c r="C13" s="6" t="s">
        <v>1337</v>
      </c>
      <c r="D13" s="6" t="s">
        <v>1338</v>
      </c>
      <c r="E13" s="6" t="s">
        <v>910</v>
      </c>
      <c r="F13" s="217">
        <v>2018</v>
      </c>
      <c r="G13" s="356">
        <f>IF(OR($B13="",$C13="",$D13="",$F13&lt;an_initial,$F13&gt;an_final,$I13=FALSE),"",(HLOOKUP(E13,ii12punctaje,2,FALSE))*VLOOKUP(J13,Coef!$E$2:$F$17,2,FALSE))</f>
        <v>42</v>
      </c>
      <c r="H13" s="372">
        <f t="shared" si="0"/>
        <v>1</v>
      </c>
      <c r="I13" s="373" t="b">
        <f t="shared" si="1"/>
        <v>1</v>
      </c>
      <c r="J13" s="374">
        <f t="shared" si="2"/>
        <v>4</v>
      </c>
    </row>
    <row r="14" spans="1:10" s="33" customFormat="1" ht="47.25" x14ac:dyDescent="0.2">
      <c r="A14" s="37">
        <v>5</v>
      </c>
      <c r="B14" s="6" t="s">
        <v>1339</v>
      </c>
      <c r="C14" s="6" t="s">
        <v>1340</v>
      </c>
      <c r="D14" s="6" t="s">
        <v>1341</v>
      </c>
      <c r="E14" s="6" t="s">
        <v>912</v>
      </c>
      <c r="F14" s="217">
        <v>2015</v>
      </c>
      <c r="G14" s="356">
        <f>IF(OR($B14="",$C14="",$D14="",$F14&lt;an_initial,$F14&gt;an_final,$I14=FALSE),"",(HLOOKUP(E14,ii12punctaje,2,FALSE))*VLOOKUP(J14,Coef!$E$2:$F$17,2,FALSE))</f>
        <v>10.5</v>
      </c>
      <c r="H14" s="372">
        <f t="shared" si="0"/>
        <v>1</v>
      </c>
      <c r="I14" s="373" t="b">
        <f t="shared" si="1"/>
        <v>1</v>
      </c>
      <c r="J14" s="374">
        <f t="shared" si="2"/>
        <v>4</v>
      </c>
    </row>
    <row r="15" spans="1:10" s="33" customFormat="1" ht="47.25" x14ac:dyDescent="0.2">
      <c r="A15" s="37">
        <v>6</v>
      </c>
      <c r="B15" s="6" t="s">
        <v>1342</v>
      </c>
      <c r="C15" s="6" t="s">
        <v>1343</v>
      </c>
      <c r="D15" s="6" t="s">
        <v>1344</v>
      </c>
      <c r="E15" s="6" t="s">
        <v>912</v>
      </c>
      <c r="F15" s="217">
        <v>2015</v>
      </c>
      <c r="G15" s="356">
        <f>IF(OR($B15="",$C15="",$D15="",$F15&lt;an_initial,$F15&gt;an_final,$I15=FALSE),"",(HLOOKUP(E15,ii12punctaje,2,FALSE))*VLOOKUP(J15,Coef!$E$2:$F$17,2,FALSE))</f>
        <v>10.5</v>
      </c>
      <c r="H15" s="372">
        <f t="shared" si="0"/>
        <v>1</v>
      </c>
      <c r="I15" s="373" t="b">
        <f t="shared" si="1"/>
        <v>1</v>
      </c>
      <c r="J15" s="374">
        <f t="shared" si="2"/>
        <v>4</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D16" sqref="D16"/>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3"/>
      <c r="D1" s="393"/>
      <c r="F1" s="61"/>
      <c r="G1" s="63"/>
      <c r="H1" s="62"/>
      <c r="I1" s="289"/>
    </row>
    <row r="2" spans="1:10" s="60" customFormat="1" x14ac:dyDescent="0.2">
      <c r="A2" s="346" t="str">
        <f>IF(ISBLANK(facultate), IF(ISBLANK(departament),"","Departament " &amp; departament), "Facultatea " &amp; facultate)</f>
        <v>Facultatea Mecanică</v>
      </c>
      <c r="C2" s="393"/>
      <c r="D2" s="393"/>
      <c r="F2" s="61"/>
      <c r="G2" s="63"/>
      <c r="H2" s="62"/>
      <c r="I2" s="289"/>
    </row>
    <row r="3" spans="1:10" s="60" customFormat="1" x14ac:dyDescent="0.2">
      <c r="A3" s="346" t="str">
        <f>IF(ISBLANK(departament),"","Departamentul " &amp; departament)</f>
        <v>Departamentul Ingineria Materialelor și Fabricației</v>
      </c>
      <c r="C3" s="393"/>
      <c r="D3" s="393"/>
      <c r="F3" s="61"/>
      <c r="G3" s="63"/>
      <c r="H3" s="62"/>
      <c r="I3" s="289"/>
    </row>
    <row r="4" spans="1:10" x14ac:dyDescent="0.25">
      <c r="A4" s="535" t="s">
        <v>903</v>
      </c>
      <c r="B4" s="535"/>
      <c r="C4" s="535"/>
      <c r="D4" s="535"/>
      <c r="E4" s="535"/>
      <c r="F4" s="535"/>
      <c r="G4" s="535"/>
      <c r="H4" s="226"/>
      <c r="I4" s="291"/>
    </row>
    <row r="5" spans="1:10" ht="15.75" customHeight="1" x14ac:dyDescent="0.25">
      <c r="A5" s="541" t="s">
        <v>921</v>
      </c>
      <c r="B5" s="535"/>
      <c r="C5" s="535"/>
      <c r="D5" s="535"/>
      <c r="E5" s="535"/>
      <c r="F5" s="535"/>
      <c r="G5" s="535"/>
      <c r="H5" s="226"/>
    </row>
    <row r="6" spans="1:10" ht="13.5" customHeight="1" x14ac:dyDescent="0.25">
      <c r="G6" s="347" t="str">
        <f>CONCATENATE(functie," ",nume_candidat)</f>
        <v>Conferențiar Codrean Cosmin</v>
      </c>
    </row>
    <row r="7" spans="1:10" s="33" customFormat="1" ht="15.75" customHeight="1" x14ac:dyDescent="0.2">
      <c r="A7" s="532" t="s">
        <v>338</v>
      </c>
      <c r="B7" s="532" t="s">
        <v>916</v>
      </c>
      <c r="C7" s="532" t="s">
        <v>451</v>
      </c>
      <c r="D7" s="533" t="s">
        <v>1047</v>
      </c>
      <c r="E7" s="532" t="s">
        <v>917</v>
      </c>
      <c r="F7" s="532" t="s">
        <v>2</v>
      </c>
      <c r="G7" s="533" t="s">
        <v>544</v>
      </c>
      <c r="H7" s="217" t="s">
        <v>4</v>
      </c>
      <c r="I7" s="539" t="s">
        <v>541</v>
      </c>
      <c r="J7" s="542" t="s">
        <v>551</v>
      </c>
    </row>
    <row r="8" spans="1:10" s="33" customFormat="1" ht="31.5" x14ac:dyDescent="0.2">
      <c r="A8" s="532"/>
      <c r="B8" s="532"/>
      <c r="C8" s="532"/>
      <c r="D8" s="534"/>
      <c r="E8" s="532"/>
      <c r="F8" s="532"/>
      <c r="G8" s="534"/>
      <c r="H8" s="348" t="str">
        <f>CONCATENATE("ultimii                                  ",durata_evaluare," ani")</f>
        <v>ultimii                                  5 ani</v>
      </c>
      <c r="I8" s="539"/>
      <c r="J8" s="542"/>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G15" sqref="G15"/>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Mecanică</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Ingineria Materialelor și Fabricației</v>
      </c>
      <c r="B3" s="60"/>
      <c r="C3" s="60"/>
      <c r="D3" s="60"/>
      <c r="E3" s="61"/>
      <c r="F3" s="61"/>
      <c r="G3" s="60"/>
      <c r="H3" s="62"/>
      <c r="I3" s="63"/>
      <c r="J3" s="62"/>
      <c r="K3" s="289"/>
      <c r="L3" s="289"/>
      <c r="M3" s="60"/>
      <c r="N3" s="60"/>
      <c r="O3" s="60"/>
      <c r="P3" s="60"/>
      <c r="Q3" s="60"/>
      <c r="R3" s="60"/>
      <c r="S3" s="63"/>
    </row>
    <row r="4" spans="1:19" s="64" customFormat="1" x14ac:dyDescent="0.25">
      <c r="A4" s="558" t="s">
        <v>903</v>
      </c>
      <c r="B4" s="558"/>
      <c r="C4" s="558"/>
      <c r="D4" s="558"/>
      <c r="E4" s="558"/>
      <c r="F4" s="558"/>
      <c r="G4" s="558"/>
      <c r="H4" s="558"/>
      <c r="I4" s="558"/>
      <c r="J4" s="305"/>
      <c r="K4" s="305"/>
      <c r="L4" s="305"/>
      <c r="M4" s="305"/>
      <c r="N4" s="305"/>
      <c r="O4" s="305"/>
      <c r="P4" s="305"/>
      <c r="Q4" s="306"/>
      <c r="R4" s="33"/>
      <c r="S4" s="33"/>
    </row>
    <row r="5" spans="1:19" s="64" customFormat="1" x14ac:dyDescent="0.25">
      <c r="A5" s="557" t="s">
        <v>1079</v>
      </c>
      <c r="B5" s="557"/>
      <c r="C5" s="557"/>
      <c r="D5" s="557"/>
      <c r="E5" s="557"/>
      <c r="F5" s="557"/>
      <c r="G5" s="557"/>
      <c r="H5" s="557"/>
      <c r="I5" s="557"/>
      <c r="J5" s="305"/>
      <c r="K5" s="305"/>
      <c r="L5" s="305"/>
      <c r="M5" s="305"/>
      <c r="N5" s="305"/>
      <c r="O5" s="305"/>
      <c r="P5" s="305"/>
      <c r="Q5" s="83"/>
      <c r="R5" s="33"/>
      <c r="S5" s="33"/>
    </row>
    <row r="6" spans="1:19" ht="13.5" customHeight="1" x14ac:dyDescent="0.25">
      <c r="F6" s="154"/>
      <c r="I6" s="347" t="str">
        <f>CONCATENATE(functie," ",nume_candidat)</f>
        <v>Conferențiar Codrean Cosmin</v>
      </c>
      <c r="K6" s="307"/>
      <c r="N6" s="305"/>
      <c r="O6" s="305"/>
      <c r="P6" s="305"/>
      <c r="S6" s="347" t="str">
        <f>CONCATENATE(functie," ",nume_candidat)</f>
        <v>Conferențiar Codrean Cosmin</v>
      </c>
    </row>
    <row r="7" spans="1:19" ht="20.25" customHeight="1" x14ac:dyDescent="0.2">
      <c r="A7" s="532" t="s">
        <v>338</v>
      </c>
      <c r="B7" s="532" t="s">
        <v>0</v>
      </c>
      <c r="C7" s="532" t="s">
        <v>23</v>
      </c>
      <c r="D7" s="532" t="s">
        <v>337</v>
      </c>
      <c r="E7" s="532" t="s">
        <v>2</v>
      </c>
      <c r="F7" s="559" t="s">
        <v>53</v>
      </c>
      <c r="G7" s="560"/>
      <c r="H7" s="561"/>
      <c r="I7" s="533" t="s">
        <v>544</v>
      </c>
      <c r="J7" s="297" t="s">
        <v>4</v>
      </c>
      <c r="K7" s="308" t="s">
        <v>54</v>
      </c>
      <c r="L7" s="308" t="s">
        <v>55</v>
      </c>
      <c r="M7" s="297" t="s">
        <v>547</v>
      </c>
      <c r="N7" s="297" t="s">
        <v>56</v>
      </c>
      <c r="O7" s="297" t="s">
        <v>57</v>
      </c>
      <c r="P7" s="297" t="s">
        <v>58</v>
      </c>
      <c r="Q7" s="539" t="s">
        <v>541</v>
      </c>
      <c r="R7" s="542" t="s">
        <v>551</v>
      </c>
      <c r="S7" s="533" t="s">
        <v>1109</v>
      </c>
    </row>
    <row r="8" spans="1:19" ht="55.5" customHeight="1" x14ac:dyDescent="0.2">
      <c r="A8" s="532"/>
      <c r="B8" s="532"/>
      <c r="C8" s="532"/>
      <c r="D8" s="532"/>
      <c r="E8" s="532"/>
      <c r="F8" s="217" t="s">
        <v>923</v>
      </c>
      <c r="G8" s="217" t="s">
        <v>548</v>
      </c>
      <c r="H8" s="217" t="s">
        <v>549</v>
      </c>
      <c r="I8" s="534"/>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9"/>
      <c r="R8" s="542"/>
      <c r="S8" s="534"/>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7" zoomScale="84" zoomScaleNormal="84" workbookViewId="0">
      <selection activeCell="U10" sqref="U10"/>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Mecanică</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Ingineria Materialelor și Fabricației</v>
      </c>
      <c r="D3" s="60"/>
      <c r="E3" s="61"/>
      <c r="F3" s="61"/>
      <c r="G3" s="60"/>
      <c r="H3" s="62"/>
      <c r="I3" s="60"/>
      <c r="J3" s="289"/>
      <c r="K3" s="289"/>
      <c r="L3" s="289"/>
      <c r="M3" s="289"/>
      <c r="N3" s="289"/>
      <c r="O3" s="60"/>
      <c r="Q3" s="289"/>
      <c r="R3" s="289"/>
      <c r="S3" s="289"/>
    </row>
    <row r="4" spans="1:26" s="64" customFormat="1" x14ac:dyDescent="0.25">
      <c r="A4" s="535" t="s">
        <v>903</v>
      </c>
      <c r="B4" s="535"/>
      <c r="C4" s="535"/>
      <c r="D4" s="535"/>
      <c r="E4" s="535"/>
      <c r="F4" s="535"/>
      <c r="G4" s="535"/>
      <c r="H4" s="535"/>
      <c r="I4" s="535"/>
      <c r="J4" s="535"/>
      <c r="K4" s="535"/>
      <c r="L4" s="535"/>
      <c r="M4" s="535"/>
      <c r="N4" s="535"/>
      <c r="O4" s="306"/>
      <c r="P4" s="33"/>
      <c r="Q4" s="33"/>
      <c r="R4" s="33"/>
      <c r="S4" s="33"/>
      <c r="T4" s="33"/>
      <c r="U4" s="33"/>
      <c r="V4" s="33"/>
      <c r="W4" s="33"/>
      <c r="X4" s="33"/>
      <c r="Y4" s="33"/>
      <c r="Z4" s="33"/>
    </row>
    <row r="5" spans="1:26" s="64" customFormat="1" ht="44.25" customHeight="1" x14ac:dyDescent="0.25">
      <c r="A5" s="541" t="s">
        <v>1016</v>
      </c>
      <c r="B5" s="541"/>
      <c r="C5" s="541"/>
      <c r="D5" s="541"/>
      <c r="E5" s="541"/>
      <c r="F5" s="541"/>
      <c r="G5" s="541"/>
      <c r="H5" s="541"/>
      <c r="I5" s="541"/>
      <c r="J5" s="541"/>
      <c r="K5" s="541"/>
      <c r="L5" s="541"/>
      <c r="M5" s="541"/>
      <c r="N5" s="541"/>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Codrean Cosmin</v>
      </c>
      <c r="P6" s="33"/>
      <c r="Q6" s="307"/>
      <c r="R6" s="307"/>
      <c r="S6" s="307"/>
      <c r="T6" s="33"/>
      <c r="U6" s="33"/>
      <c r="V6" s="33"/>
      <c r="W6" s="33"/>
      <c r="X6" s="33"/>
      <c r="Y6" s="33"/>
      <c r="Z6" s="33"/>
    </row>
    <row r="7" spans="1:26" ht="34.5" customHeight="1" x14ac:dyDescent="0.2">
      <c r="A7" s="532" t="s">
        <v>338</v>
      </c>
      <c r="B7" s="532" t="s">
        <v>542</v>
      </c>
      <c r="C7" s="532" t="s">
        <v>63</v>
      </c>
      <c r="D7" s="532" t="s">
        <v>37</v>
      </c>
      <c r="E7" s="538" t="s">
        <v>2</v>
      </c>
      <c r="F7" s="567" t="s">
        <v>1072</v>
      </c>
      <c r="G7" s="543" t="s">
        <v>36</v>
      </c>
      <c r="H7" s="564" t="s">
        <v>550</v>
      </c>
      <c r="I7" s="565"/>
      <c r="J7" s="566"/>
      <c r="K7" s="569" t="s">
        <v>1062</v>
      </c>
      <c r="L7" s="570"/>
      <c r="M7" s="562" t="s">
        <v>544</v>
      </c>
      <c r="N7" s="532" t="s">
        <v>38</v>
      </c>
      <c r="O7" s="539" t="s">
        <v>541</v>
      </c>
      <c r="P7" s="542" t="s">
        <v>551</v>
      </c>
      <c r="Q7" s="562" t="s">
        <v>544</v>
      </c>
      <c r="R7" s="562" t="s">
        <v>544</v>
      </c>
      <c r="S7" s="562" t="s">
        <v>544</v>
      </c>
    </row>
    <row r="8" spans="1:26" ht="199.5" customHeight="1" thickBot="1" x14ac:dyDescent="0.25">
      <c r="A8" s="532"/>
      <c r="B8" s="532"/>
      <c r="C8" s="532"/>
      <c r="D8" s="532"/>
      <c r="E8" s="538"/>
      <c r="F8" s="568"/>
      <c r="G8" s="545"/>
      <c r="H8" s="309" t="s">
        <v>332</v>
      </c>
      <c r="I8" s="309" t="s">
        <v>333</v>
      </c>
      <c r="J8" s="310" t="s">
        <v>1021</v>
      </c>
      <c r="K8" s="315" t="s">
        <v>1076</v>
      </c>
      <c r="L8" s="416" t="s">
        <v>1077</v>
      </c>
      <c r="M8" s="563"/>
      <c r="N8" s="532"/>
      <c r="O8" s="539"/>
      <c r="P8" s="542"/>
      <c r="Q8" s="563"/>
      <c r="R8" s="563"/>
      <c r="S8" s="563"/>
    </row>
    <row r="9" spans="1:26" ht="16.5" thickBot="1" x14ac:dyDescent="0.25">
      <c r="A9" s="88"/>
      <c r="B9" s="65"/>
      <c r="C9" s="65"/>
      <c r="D9" s="66"/>
      <c r="E9" s="30"/>
      <c r="F9" s="30"/>
      <c r="G9" s="30"/>
      <c r="H9" s="30"/>
      <c r="I9" s="30"/>
      <c r="J9" s="30"/>
      <c r="K9" s="321"/>
      <c r="L9" s="321"/>
      <c r="M9" s="148">
        <f>SUMIF(M10:M1010,"&gt;0")</f>
        <v>64</v>
      </c>
      <c r="N9" s="302"/>
      <c r="O9" s="298"/>
      <c r="P9" s="311"/>
      <c r="Q9" s="148">
        <f>SUMIF(Q10:Q1309,"&gt;0")</f>
        <v>0</v>
      </c>
      <c r="R9" s="148">
        <f>SUMIF(R10:R1309,"&gt;0")</f>
        <v>0</v>
      </c>
      <c r="S9" s="148">
        <f>SUMIF(S10:S1309,"&gt;0")</f>
        <v>64</v>
      </c>
    </row>
    <row r="10" spans="1:26" ht="173.25" x14ac:dyDescent="0.2">
      <c r="A10" s="37">
        <v>1</v>
      </c>
      <c r="B10" s="7" t="s">
        <v>1345</v>
      </c>
      <c r="C10" s="6" t="s">
        <v>1347</v>
      </c>
      <c r="D10" s="506" t="s">
        <v>1346</v>
      </c>
      <c r="E10" s="216">
        <v>2019</v>
      </c>
      <c r="F10" s="312">
        <v>32000</v>
      </c>
      <c r="G10" s="77" t="s">
        <v>330</v>
      </c>
      <c r="H10" s="220"/>
      <c r="I10" s="220"/>
      <c r="J10" s="216"/>
      <c r="K10" s="410" t="s">
        <v>1074</v>
      </c>
      <c r="L10" s="31"/>
      <c r="M10" s="365">
        <f t="shared" ref="M10:M73" si="0">IF(
OR(
$B10="",$C10="",$D10="",$E10="",$E10&lt;an_initial,$E10&gt;an_final,$O10=FALSE),"",IF(
$G10="","",IF(
OR(
$H10="X",$H10="x"),100*$F10/10000,IF(
OR(
$I10="X",$I10="x"),80*$F10/10000,IF(
OR(
$K10="X",$K10="x"),100*(
IF(
$P10&lt;=5,0.3,0.2))*$F10/10000,IF(
OR(
$L10="X",$L10="x"),80*(
IF(
$P10&lt;=5,0.3,0.2))*$F10/10000,""))))))</f>
        <v>64</v>
      </c>
      <c r="N10" s="303"/>
      <c r="O10" s="349" t="b">
        <f t="shared" ref="O10:O74" si="1">IF(nume_candidat="",FALSE,ISNUMBER(SEARCH(nume_candidat,$B10)))</f>
        <v>1</v>
      </c>
      <c r="P10" s="364">
        <f>LEN(B10)-LEN(SUBSTITUTE(B10,",",""))+1</f>
        <v>15</v>
      </c>
      <c r="Q10" s="365" t="str">
        <f t="shared" ref="Q10:Q73" si="2">IF(
OR(
$B10="",$C10="",$D10="",$E10="",$E10&lt;an_initial,$E10&gt;an_final,$O10=FALSE),"",IF(
$G10="","",IF(
OR(
$H10="X",$H10="x"),100*$F10/10000,"")))</f>
        <v/>
      </c>
      <c r="R10" s="365" t="str">
        <f t="shared" ref="R10:R73" si="3">IF(
OR(
$B10="",$C10="",$D10="",$E10="",$E10&lt;an_initial,$E10&gt;an_final,$O10=FALSE),"",IF(
$G10="","",IF(
OR(
$I10="X",$I10="x"),80*$F10/10000,"")))</f>
        <v/>
      </c>
      <c r="S10" s="365">
        <f t="shared" ref="S10:S73" si="4">IF(
OR(
$B10="",$C10="",$D10="",$E10="",$E10&lt;an_initial,$E10&gt;an_final,$O10=FALSE),"",IF(
$G10="","",IF(
OR(
$K10="X",$K10="x"),100*(
IF(
$P10&lt;=5,0.3,0.2))*$F10/10000,IF(
OR(
$L10="X",$L10="x"),80*(
IF(
$P10&lt;=5,0.3,0.2))*$F10/10000,""))))</f>
        <v>64</v>
      </c>
      <c r="V10" s="84"/>
    </row>
    <row r="11" spans="1:26" x14ac:dyDescent="0.2">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7" zoomScale="70" zoomScaleNormal="70" zoomScalePageLayoutView="68" workbookViewId="0">
      <selection activeCell="W10" sqref="W10"/>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483</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Mecanică</v>
      </c>
      <c r="E2" s="61"/>
      <c r="F2" s="61"/>
      <c r="J2" s="289"/>
      <c r="K2" s="289"/>
      <c r="L2" s="289"/>
      <c r="M2" s="289"/>
      <c r="R2" s="289"/>
      <c r="S2" s="289"/>
      <c r="T2" s="289"/>
    </row>
    <row r="3" spans="1:22" s="60" customFormat="1" x14ac:dyDescent="0.2">
      <c r="A3" s="346" t="str">
        <f>IF(ISBLANK(departament),"","Departamentul " &amp; departament)</f>
        <v>Departamentul Ingineria Materialelor și Fabricației</v>
      </c>
      <c r="E3" s="61"/>
      <c r="F3" s="61"/>
      <c r="J3" s="289"/>
      <c r="K3" s="289"/>
      <c r="L3" s="289"/>
      <c r="M3" s="289"/>
      <c r="R3" s="289"/>
      <c r="S3" s="289"/>
      <c r="T3" s="289"/>
    </row>
    <row r="4" spans="1:22" x14ac:dyDescent="0.25">
      <c r="A4" s="535" t="s">
        <v>903</v>
      </c>
      <c r="B4" s="535"/>
      <c r="C4" s="535"/>
      <c r="D4" s="535"/>
      <c r="E4" s="535"/>
      <c r="F4" s="535"/>
      <c r="G4" s="535"/>
      <c r="H4" s="535"/>
      <c r="I4" s="535"/>
      <c r="J4" s="535"/>
      <c r="K4" s="535"/>
      <c r="L4" s="535"/>
      <c r="M4" s="535"/>
      <c r="N4" s="535"/>
      <c r="P4" s="306"/>
      <c r="R4" s="64"/>
      <c r="S4" s="64"/>
      <c r="T4" s="64"/>
    </row>
    <row r="5" spans="1:22" ht="44.25" customHeight="1" x14ac:dyDescent="0.25">
      <c r="A5" s="541" t="s">
        <v>1017</v>
      </c>
      <c r="B5" s="541"/>
      <c r="C5" s="541"/>
      <c r="D5" s="541"/>
      <c r="E5" s="541"/>
      <c r="F5" s="541"/>
      <c r="G5" s="541"/>
      <c r="H5" s="541"/>
      <c r="I5" s="541"/>
      <c r="J5" s="541"/>
      <c r="K5" s="541"/>
      <c r="L5" s="541"/>
      <c r="M5" s="541"/>
      <c r="N5" s="541"/>
      <c r="O5" s="33"/>
      <c r="P5" s="33"/>
      <c r="Q5" s="33"/>
      <c r="R5" s="33"/>
      <c r="S5" s="33"/>
      <c r="T5" s="33"/>
      <c r="U5" s="33"/>
      <c r="V5" s="33"/>
    </row>
    <row r="6" spans="1:22" ht="16.5" thickBot="1" x14ac:dyDescent="0.3">
      <c r="N6" s="347" t="str">
        <f>CONCATENATE(functie," ",nume_candidat)</f>
        <v>Conferențiar Codrean Cosmin</v>
      </c>
    </row>
    <row r="7" spans="1:22" ht="15.75" customHeight="1" x14ac:dyDescent="0.25">
      <c r="A7" s="579" t="s">
        <v>338</v>
      </c>
      <c r="B7" s="532" t="s">
        <v>542</v>
      </c>
      <c r="C7" s="573" t="s">
        <v>63</v>
      </c>
      <c r="D7" s="581" t="s">
        <v>61</v>
      </c>
      <c r="E7" s="573" t="s">
        <v>37</v>
      </c>
      <c r="F7" s="575" t="s">
        <v>2</v>
      </c>
      <c r="G7" s="587" t="s">
        <v>1073</v>
      </c>
      <c r="H7" s="583" t="s">
        <v>1061</v>
      </c>
      <c r="I7" s="584"/>
      <c r="J7" s="585"/>
      <c r="K7" s="569" t="s">
        <v>1062</v>
      </c>
      <c r="L7" s="570"/>
      <c r="M7" s="571" t="s">
        <v>544</v>
      </c>
      <c r="N7" s="586" t="s">
        <v>62</v>
      </c>
      <c r="O7" s="577" t="s">
        <v>39</v>
      </c>
      <c r="P7" s="539" t="s">
        <v>541</v>
      </c>
      <c r="Q7" s="542" t="s">
        <v>551</v>
      </c>
      <c r="R7" s="571" t="s">
        <v>544</v>
      </c>
      <c r="S7" s="571" t="s">
        <v>544</v>
      </c>
      <c r="T7" s="571" t="s">
        <v>544</v>
      </c>
    </row>
    <row r="8" spans="1:22" s="316" customFormat="1" ht="236.25" customHeight="1" thickBot="1" x14ac:dyDescent="0.3">
      <c r="A8" s="580"/>
      <c r="B8" s="532"/>
      <c r="C8" s="574"/>
      <c r="D8" s="582"/>
      <c r="E8" s="574"/>
      <c r="F8" s="576"/>
      <c r="G8" s="588"/>
      <c r="H8" s="406" t="s">
        <v>1063</v>
      </c>
      <c r="I8" s="407" t="s">
        <v>1064</v>
      </c>
      <c r="J8" s="315" t="s">
        <v>334</v>
      </c>
      <c r="K8" s="315" t="s">
        <v>1065</v>
      </c>
      <c r="L8" s="416" t="s">
        <v>1071</v>
      </c>
      <c r="M8" s="572"/>
      <c r="N8" s="561"/>
      <c r="O8" s="578"/>
      <c r="P8" s="539"/>
      <c r="Q8" s="542"/>
      <c r="R8" s="572"/>
      <c r="S8" s="572"/>
      <c r="T8" s="572"/>
    </row>
    <row r="9" spans="1:22" ht="16.5" thickBot="1" x14ac:dyDescent="0.3">
      <c r="A9" s="317"/>
      <c r="B9" s="318"/>
      <c r="C9" s="319"/>
      <c r="D9" s="320"/>
      <c r="E9" s="317"/>
      <c r="F9" s="321"/>
      <c r="G9" s="322"/>
      <c r="H9" s="323"/>
      <c r="I9" s="321"/>
      <c r="J9" s="324"/>
      <c r="K9" s="321"/>
      <c r="L9" s="321"/>
      <c r="M9" s="362">
        <f>SUMIF(M10:M1010,"&gt;0")</f>
        <v>869.93341435658692</v>
      </c>
      <c r="N9" s="325"/>
      <c r="O9" s="358">
        <f>SUMIF(O10:O1310,"&gt;0")</f>
        <v>429409.93793810293</v>
      </c>
      <c r="P9" s="326"/>
      <c r="Q9" s="4">
        <f>SUM(Q10:Q1310)</f>
        <v>347</v>
      </c>
      <c r="R9" s="362">
        <f>SUM(R10:R1310)</f>
        <v>147.17608386206643</v>
      </c>
      <c r="S9" s="362">
        <f>SUM(S10:S1310)</f>
        <v>0</v>
      </c>
      <c r="T9" s="362">
        <f>SUM(T10:T1310)</f>
        <v>722.7573304945206</v>
      </c>
    </row>
    <row r="10" spans="1:22" s="85" customFormat="1" ht="79.5" thickBot="1" x14ac:dyDescent="0.3">
      <c r="A10" s="28">
        <v>1</v>
      </c>
      <c r="B10" s="152" t="s">
        <v>1348</v>
      </c>
      <c r="C10" s="153" t="s">
        <v>1349</v>
      </c>
      <c r="D10" s="162" t="s">
        <v>1350</v>
      </c>
      <c r="E10" s="404" t="s">
        <v>1351</v>
      </c>
      <c r="F10" s="403">
        <v>2015</v>
      </c>
      <c r="G10" s="327">
        <v>215801</v>
      </c>
      <c r="H10" s="25"/>
      <c r="I10" s="402"/>
      <c r="J10" s="26" t="s">
        <v>1074</v>
      </c>
      <c r="K10" s="410" t="s">
        <v>1074</v>
      </c>
      <c r="L10" s="31"/>
      <c r="M10" s="363">
        <f t="shared" ref="M10:M73" si="0">IF(
OR(
$B10="",$C10="",$E10="",$F10="",$F10&lt;an_initial,$F10&gt;an_final,$P10=FALSE),"",IF(
$G10="","",IF(
OR(
$H10="X",$H10="x"),60*$O10/10000,IF(
OR(
$I10="X",$I10="x"),40*$O10/10000,IF(
OR(
$K10="X",$K10="x"),60*(
IF(
$Q10&lt;=5,0.3,0.2))*$O10/10000,IF(
OR(
$L10="X",$L10="x"),40*(
IF(
$Q10&lt;=5,0.3,0.2))*$O10/10000,""))))))</f>
        <v>87.388481439820012</v>
      </c>
      <c r="N10" s="328"/>
      <c r="O10" s="359">
        <f>IF(OR($B10="",$C10="",$D10="",$E10="",$F10=""),"",$G10/VLOOKUP($F10,Euro!$A:$C,3,FALSE))</f>
        <v>48549.156355455561</v>
      </c>
      <c r="P10" s="360" t="b">
        <f t="shared" ref="P10:P74" si="1">IF(nume_candidat="",FALSE,ISNUMBER(SEARCH(nume_candidat,$B10)))</f>
        <v>1</v>
      </c>
      <c r="Q10" s="361">
        <f t="shared" ref="Q10:Q41" si="2">LEN(B10)-LEN(SUBSTITUTE(B10,",",""))+1</f>
        <v>5</v>
      </c>
      <c r="R10" s="363" t="str">
        <f t="shared" ref="R10:R73" si="3">IF(
OR(
$B10="",$C10="",$E10="",$F10="",$F10&lt;an_initial,$F10&gt;an_final,$P10=FALSE),"",IF(
$G10="","",IF(
OR(
$H10="X",$H10="x"),60*$O10/10000,"")))</f>
        <v/>
      </c>
      <c r="S10" s="363" t="str">
        <f t="shared" ref="S10:S73" si="4">IF(
OR(
$B10="",$C10="",$E10="",$F10="",$F10&lt;an_initial,$F10&gt;an_final,$P10=FALSE),"",IF(
$G10="","",IF(
OR(
$I10="X",$I10="x"),40*$O10/10000,"")))</f>
        <v/>
      </c>
      <c r="T10" s="363">
        <f t="shared" ref="T10:T73" si="5">IF(
OR(
$B10="",$C10="",$E10="",$F10="",$F10&lt;an_initial,$F10&gt;an_final,$P10=FALSE),"",IF(
$G10="","",IF(
OR(
$K10="X",$K10="x"),60*(
IF(
$Q10&lt;=5,0.3,0.2))*$O10/10000,IF(
OR(
$L10="X",$L10="x"),40*(
IF(
$Q10&lt;=5,0.3,0.2))*$O10/10000,""))))</f>
        <v>87.388481439820012</v>
      </c>
    </row>
    <row r="11" spans="1:22" s="85" customFormat="1" ht="95.25" thickBot="1" x14ac:dyDescent="0.3">
      <c r="A11" s="28" t="s">
        <v>24</v>
      </c>
      <c r="B11" s="152" t="s">
        <v>1352</v>
      </c>
      <c r="C11" s="153" t="s">
        <v>1353</v>
      </c>
      <c r="D11" s="162" t="s">
        <v>1354</v>
      </c>
      <c r="E11" s="404" t="s">
        <v>1355</v>
      </c>
      <c r="F11" s="408">
        <v>2015</v>
      </c>
      <c r="G11" s="327">
        <v>345341</v>
      </c>
      <c r="H11" s="25"/>
      <c r="I11" s="402"/>
      <c r="J11" s="26" t="s">
        <v>1074</v>
      </c>
      <c r="K11" s="25" t="s">
        <v>1074</v>
      </c>
      <c r="L11" s="31"/>
      <c r="M11" s="363">
        <f t="shared" si="0"/>
        <v>139.84562429696285</v>
      </c>
      <c r="N11" s="328"/>
      <c r="O11" s="359">
        <f>IF(OR($B11="",$C11="",$D11="",$E11="",$F11=""),"",$G11/VLOOKUP($F11,Euro!$A:$C,3,FALSE))</f>
        <v>77692.013498312706</v>
      </c>
      <c r="P11" s="360" t="b">
        <f t="shared" si="1"/>
        <v>1</v>
      </c>
      <c r="Q11" s="361">
        <f t="shared" si="2"/>
        <v>5</v>
      </c>
      <c r="R11" s="363" t="str">
        <f t="shared" si="3"/>
        <v/>
      </c>
      <c r="S11" s="363" t="str">
        <f t="shared" si="4"/>
        <v/>
      </c>
      <c r="T11" s="363">
        <f t="shared" si="5"/>
        <v>139.84562429696285</v>
      </c>
    </row>
    <row r="12" spans="1:22" s="85" customFormat="1" ht="48" thickBot="1" x14ac:dyDescent="0.3">
      <c r="A12" s="28" t="s">
        <v>25</v>
      </c>
      <c r="B12" s="152" t="s">
        <v>1235</v>
      </c>
      <c r="C12" s="17" t="s">
        <v>1356</v>
      </c>
      <c r="D12" s="162" t="s">
        <v>1357</v>
      </c>
      <c r="E12" s="18" t="s">
        <v>1358</v>
      </c>
      <c r="F12" s="403">
        <v>2015</v>
      </c>
      <c r="G12" s="327">
        <v>1876</v>
      </c>
      <c r="H12" s="23" t="s">
        <v>1074</v>
      </c>
      <c r="I12" s="401"/>
      <c r="J12" s="24"/>
      <c r="K12" s="25"/>
      <c r="L12" s="31" t="s">
        <v>1075</v>
      </c>
      <c r="M12" s="363">
        <f t="shared" si="0"/>
        <v>2.532283464566929</v>
      </c>
      <c r="N12" s="329"/>
      <c r="O12" s="359">
        <f>IF(OR($B12="",$C12="",$D12="",$E12="",$F12=""),"",$G12/VLOOKUP($F12,Euro!$A:$C,3,FALSE))</f>
        <v>422.04724409448818</v>
      </c>
      <c r="P12" s="360" t="b">
        <f t="shared" si="1"/>
        <v>1</v>
      </c>
      <c r="Q12" s="361">
        <f t="shared" si="2"/>
        <v>1</v>
      </c>
      <c r="R12" s="363">
        <f t="shared" si="3"/>
        <v>2.532283464566929</v>
      </c>
      <c r="S12" s="363" t="str">
        <f t="shared" si="4"/>
        <v/>
      </c>
      <c r="T12" s="363" t="str">
        <f t="shared" si="5"/>
        <v/>
      </c>
    </row>
    <row r="13" spans="1:22" s="85" customFormat="1" ht="79.5" thickBot="1" x14ac:dyDescent="0.3">
      <c r="A13" s="28" t="s">
        <v>26</v>
      </c>
      <c r="B13" s="152" t="s">
        <v>1348</v>
      </c>
      <c r="C13" s="17" t="s">
        <v>1349</v>
      </c>
      <c r="D13" s="162" t="s">
        <v>1350</v>
      </c>
      <c r="E13" s="18" t="s">
        <v>1351</v>
      </c>
      <c r="F13" s="403">
        <v>2016</v>
      </c>
      <c r="G13" s="327">
        <v>495971</v>
      </c>
      <c r="H13" s="23"/>
      <c r="I13" s="401"/>
      <c r="J13" s="24" t="s">
        <v>1074</v>
      </c>
      <c r="K13" s="25" t="s">
        <v>1074</v>
      </c>
      <c r="L13" s="31"/>
      <c r="M13" s="363">
        <f t="shared" si="0"/>
        <v>198.79482497550546</v>
      </c>
      <c r="N13" s="329"/>
      <c r="O13" s="359">
        <f>IF(OR($B13="",$C13="",$D13="",$E13="",$F13=""),"",$G13/VLOOKUP($F13,Euro!$A:$C,3,FALSE))</f>
        <v>110441.56943083637</v>
      </c>
      <c r="P13" s="360" t="b">
        <f t="shared" si="1"/>
        <v>1</v>
      </c>
      <c r="Q13" s="361">
        <f t="shared" si="2"/>
        <v>5</v>
      </c>
      <c r="R13" s="363" t="str">
        <f t="shared" si="3"/>
        <v/>
      </c>
      <c r="S13" s="363" t="str">
        <f t="shared" si="4"/>
        <v/>
      </c>
      <c r="T13" s="363">
        <f t="shared" si="5"/>
        <v>198.79482497550546</v>
      </c>
    </row>
    <row r="14" spans="1:22" s="85" customFormat="1" ht="95.25" thickBot="1" x14ac:dyDescent="0.3">
      <c r="A14" s="28">
        <v>4</v>
      </c>
      <c r="B14" s="152" t="s">
        <v>1352</v>
      </c>
      <c r="C14" s="17" t="s">
        <v>1353</v>
      </c>
      <c r="D14" s="162" t="s">
        <v>1354</v>
      </c>
      <c r="E14" s="18" t="s">
        <v>1355</v>
      </c>
      <c r="F14" s="403">
        <v>2016</v>
      </c>
      <c r="G14" s="327">
        <v>432201</v>
      </c>
      <c r="H14" s="23"/>
      <c r="I14" s="401"/>
      <c r="J14" s="24" t="s">
        <v>1074</v>
      </c>
      <c r="K14" s="25" t="s">
        <v>1074</v>
      </c>
      <c r="L14" s="31"/>
      <c r="M14" s="363">
        <f t="shared" si="0"/>
        <v>173.23456845105548</v>
      </c>
      <c r="N14" s="329"/>
      <c r="O14" s="359">
        <f>IF(OR($B14="",$C14="",$D14="",$E14="",$F14=""),"",$G14/VLOOKUP($F14,Euro!$A:$C,3,FALSE))</f>
        <v>96241.426917253048</v>
      </c>
      <c r="P14" s="360" t="b">
        <f t="shared" si="1"/>
        <v>1</v>
      </c>
      <c r="Q14" s="361">
        <f t="shared" si="2"/>
        <v>5</v>
      </c>
      <c r="R14" s="363" t="str">
        <f t="shared" si="3"/>
        <v/>
      </c>
      <c r="S14" s="363" t="str">
        <f t="shared" si="4"/>
        <v/>
      </c>
      <c r="T14" s="363">
        <f t="shared" si="5"/>
        <v>173.23456845105548</v>
      </c>
    </row>
    <row r="15" spans="1:22" s="85" customFormat="1" ht="78.75" x14ac:dyDescent="0.25">
      <c r="A15" s="28">
        <v>5</v>
      </c>
      <c r="B15" s="152" t="s">
        <v>1235</v>
      </c>
      <c r="C15" s="17" t="s">
        <v>1359</v>
      </c>
      <c r="D15" s="162" t="s">
        <v>1357</v>
      </c>
      <c r="E15" s="18" t="s">
        <v>1360</v>
      </c>
      <c r="F15" s="408">
        <v>2016</v>
      </c>
      <c r="G15" s="327">
        <v>10932</v>
      </c>
      <c r="H15" s="23" t="s">
        <v>1074</v>
      </c>
      <c r="I15" s="417"/>
      <c r="J15" s="24"/>
      <c r="K15" s="25"/>
      <c r="L15" s="31"/>
      <c r="M15" s="363">
        <f t="shared" si="0"/>
        <v>14.605860871114276</v>
      </c>
      <c r="N15" s="329"/>
      <c r="O15" s="359">
        <f>IF(OR($B15="",$C15="",$D15="",$E15="",$F15=""),"",$G15/VLOOKUP($F15,Euro!$A:$C,3,FALSE))</f>
        <v>2434.3101451857128</v>
      </c>
      <c r="P15" s="360" t="b">
        <f t="shared" si="1"/>
        <v>1</v>
      </c>
      <c r="Q15" s="361">
        <f t="shared" si="2"/>
        <v>1</v>
      </c>
      <c r="R15" s="363">
        <f t="shared" si="3"/>
        <v>14.605860871114276</v>
      </c>
      <c r="S15" s="363" t="str">
        <f t="shared" si="4"/>
        <v/>
      </c>
      <c r="T15" s="363" t="str">
        <f t="shared" si="5"/>
        <v/>
      </c>
    </row>
    <row r="16" spans="1:22" s="85" customFormat="1" ht="31.5" x14ac:dyDescent="0.25">
      <c r="A16" s="28">
        <v>6</v>
      </c>
      <c r="B16" s="19" t="s">
        <v>1235</v>
      </c>
      <c r="C16" s="19" t="s">
        <v>1361</v>
      </c>
      <c r="D16" s="162" t="s">
        <v>1362</v>
      </c>
      <c r="E16" s="18" t="s">
        <v>1363</v>
      </c>
      <c r="F16" s="31">
        <v>2016</v>
      </c>
      <c r="G16" s="327">
        <v>2000</v>
      </c>
      <c r="H16" s="25" t="s">
        <v>1074</v>
      </c>
      <c r="I16" s="220"/>
      <c r="J16" s="26"/>
      <c r="K16" s="25"/>
      <c r="L16" s="31"/>
      <c r="M16" s="363">
        <f t="shared" si="0"/>
        <v>2.6721296873608265</v>
      </c>
      <c r="N16" s="329"/>
      <c r="O16" s="359">
        <f>IF(OR($B16="",$C16="",$D16="",$E16="",$F16=""),"",$G16/VLOOKUP($F16,Euro!$A:$C,3,FALSE))</f>
        <v>445.35494789347109</v>
      </c>
      <c r="P16" s="360" t="b">
        <f t="shared" si="1"/>
        <v>1</v>
      </c>
      <c r="Q16" s="361">
        <f t="shared" si="2"/>
        <v>1</v>
      </c>
      <c r="R16" s="363">
        <f t="shared" si="3"/>
        <v>2.6721296873608265</v>
      </c>
      <c r="S16" s="363" t="str">
        <f t="shared" si="4"/>
        <v/>
      </c>
      <c r="T16" s="363" t="str">
        <f t="shared" si="5"/>
        <v/>
      </c>
    </row>
    <row r="17" spans="1:20" s="85" customFormat="1" ht="47.25" x14ac:dyDescent="0.25">
      <c r="A17" s="28">
        <v>7</v>
      </c>
      <c r="B17" s="19" t="s">
        <v>1364</v>
      </c>
      <c r="C17" s="19" t="s">
        <v>1365</v>
      </c>
      <c r="D17" s="162" t="s">
        <v>1357</v>
      </c>
      <c r="E17" s="18" t="s">
        <v>1366</v>
      </c>
      <c r="F17" s="30">
        <v>2017</v>
      </c>
      <c r="G17" s="327">
        <v>11376</v>
      </c>
      <c r="H17" s="23" t="s">
        <v>1074</v>
      </c>
      <c r="I17" s="216"/>
      <c r="J17" s="24"/>
      <c r="K17" s="25"/>
      <c r="L17" s="31"/>
      <c r="M17" s="363">
        <f t="shared" si="0"/>
        <v>14.941879556051749</v>
      </c>
      <c r="N17" s="329"/>
      <c r="O17" s="359">
        <f>IF(OR($B17="",$C17="",$D17="",$E17="",$F17=""),"",$G17/VLOOKUP($F17,Euro!$A:$C,3,FALSE))</f>
        <v>2490.3132593419582</v>
      </c>
      <c r="P17" s="360" t="b">
        <f t="shared" si="1"/>
        <v>1</v>
      </c>
      <c r="Q17" s="361">
        <f t="shared" si="2"/>
        <v>6</v>
      </c>
      <c r="R17" s="363">
        <f t="shared" si="3"/>
        <v>14.941879556051749</v>
      </c>
      <c r="S17" s="363" t="str">
        <f t="shared" si="4"/>
        <v/>
      </c>
      <c r="T17" s="363" t="str">
        <f t="shared" si="5"/>
        <v/>
      </c>
    </row>
    <row r="18" spans="1:20" s="85" customFormat="1" ht="63" x14ac:dyDescent="0.25">
      <c r="A18" s="28">
        <v>8</v>
      </c>
      <c r="B18" s="19" t="s">
        <v>1235</v>
      </c>
      <c r="C18" s="19" t="s">
        <v>1367</v>
      </c>
      <c r="D18" s="162" t="s">
        <v>1357</v>
      </c>
      <c r="E18" s="18" t="s">
        <v>1368</v>
      </c>
      <c r="F18" s="30">
        <v>2017</v>
      </c>
      <c r="G18" s="327">
        <v>1558</v>
      </c>
      <c r="H18" s="23" t="s">
        <v>1074</v>
      </c>
      <c r="I18" s="216"/>
      <c r="J18" s="24"/>
      <c r="K18" s="25"/>
      <c r="L18" s="31"/>
      <c r="M18" s="363">
        <f t="shared" si="0"/>
        <v>2.0463650095225585</v>
      </c>
      <c r="N18" s="329"/>
      <c r="O18" s="359">
        <f>IF(OR($B18="",$C18="",$D18="",$E18="",$F18=""),"",$G18/VLOOKUP($F18,Euro!$A:$C,3,FALSE))</f>
        <v>341.06083492042643</v>
      </c>
      <c r="P18" s="360" t="b">
        <f t="shared" si="1"/>
        <v>1</v>
      </c>
      <c r="Q18" s="361">
        <f t="shared" si="2"/>
        <v>1</v>
      </c>
      <c r="R18" s="363">
        <f t="shared" si="3"/>
        <v>2.0463650095225585</v>
      </c>
      <c r="S18" s="363" t="str">
        <f t="shared" si="4"/>
        <v/>
      </c>
      <c r="T18" s="363" t="str">
        <f t="shared" si="5"/>
        <v/>
      </c>
    </row>
    <row r="19" spans="1:20" s="85" customFormat="1" ht="94.5" x14ac:dyDescent="0.25">
      <c r="A19" s="28">
        <v>9</v>
      </c>
      <c r="B19" s="19" t="s">
        <v>1352</v>
      </c>
      <c r="C19" s="19" t="s">
        <v>1353</v>
      </c>
      <c r="D19" s="162" t="s">
        <v>1354</v>
      </c>
      <c r="E19" s="18" t="s">
        <v>1355</v>
      </c>
      <c r="F19" s="30">
        <v>2017</v>
      </c>
      <c r="G19" s="327">
        <v>282812</v>
      </c>
      <c r="H19" s="23"/>
      <c r="I19" s="216"/>
      <c r="J19" s="24" t="s">
        <v>1074</v>
      </c>
      <c r="K19" s="25" t="s">
        <v>1074</v>
      </c>
      <c r="L19" s="31"/>
      <c r="M19" s="363">
        <f t="shared" si="0"/>
        <v>111.43836606028765</v>
      </c>
      <c r="N19" s="329"/>
      <c r="O19" s="359">
        <f>IF(OR($B19="",$C19="",$D19="",$E19="",$F19=""),"",$G19/VLOOKUP($F19,Euro!$A:$C,3,FALSE))</f>
        <v>61910.20336682647</v>
      </c>
      <c r="P19" s="360" t="b">
        <f t="shared" si="1"/>
        <v>1</v>
      </c>
      <c r="Q19" s="361">
        <f t="shared" si="2"/>
        <v>5</v>
      </c>
      <c r="R19" s="363" t="str">
        <f t="shared" si="3"/>
        <v/>
      </c>
      <c r="S19" s="363" t="str">
        <f t="shared" si="4"/>
        <v/>
      </c>
      <c r="T19" s="363">
        <f t="shared" si="5"/>
        <v>111.43836606028765</v>
      </c>
    </row>
    <row r="20" spans="1:20" s="85" customFormat="1" ht="63" x14ac:dyDescent="0.25">
      <c r="A20" s="28">
        <v>10</v>
      </c>
      <c r="B20" s="19" t="s">
        <v>1369</v>
      </c>
      <c r="C20" s="19" t="s">
        <v>1370</v>
      </c>
      <c r="D20" s="162" t="s">
        <v>1357</v>
      </c>
      <c r="E20" s="18" t="s">
        <v>1371</v>
      </c>
      <c r="F20" s="30">
        <v>2018</v>
      </c>
      <c r="G20" s="327">
        <v>23078</v>
      </c>
      <c r="H20" s="23" t="s">
        <v>1074</v>
      </c>
      <c r="I20" s="216"/>
      <c r="J20" s="24"/>
      <c r="K20" s="25"/>
      <c r="L20" s="31"/>
      <c r="M20" s="363">
        <f t="shared" si="0"/>
        <v>29.75566777694209</v>
      </c>
      <c r="N20" s="329"/>
      <c r="O20" s="359">
        <f>IF(OR($B20="",$C20="",$D20="",$E20="",$F20=""),"",$G20/VLOOKUP($F20,Euro!$A:$C,3,FALSE))</f>
        <v>4959.2779628236813</v>
      </c>
      <c r="P20" s="360" t="b">
        <f t="shared" si="1"/>
        <v>1</v>
      </c>
      <c r="Q20" s="361">
        <f t="shared" si="2"/>
        <v>6</v>
      </c>
      <c r="R20" s="363">
        <f t="shared" si="3"/>
        <v>29.75566777694209</v>
      </c>
      <c r="S20" s="363" t="str">
        <f t="shared" si="4"/>
        <v/>
      </c>
      <c r="T20" s="363" t="str">
        <f t="shared" si="5"/>
        <v/>
      </c>
    </row>
    <row r="21" spans="1:20" s="85" customFormat="1" ht="31.5" x14ac:dyDescent="0.25">
      <c r="A21" s="28">
        <v>11</v>
      </c>
      <c r="B21" s="19" t="s">
        <v>1372</v>
      </c>
      <c r="C21" s="19" t="s">
        <v>1373</v>
      </c>
      <c r="D21" s="162" t="s">
        <v>1374</v>
      </c>
      <c r="E21" s="18" t="s">
        <v>1375</v>
      </c>
      <c r="F21" s="30">
        <v>2018</v>
      </c>
      <c r="G21" s="327">
        <v>46500</v>
      </c>
      <c r="H21" s="23" t="s">
        <v>1074</v>
      </c>
      <c r="I21" s="216"/>
      <c r="J21" s="24"/>
      <c r="K21" s="25"/>
      <c r="L21" s="31"/>
      <c r="M21" s="363">
        <f t="shared" si="0"/>
        <v>59.954872676480072</v>
      </c>
      <c r="N21" s="329"/>
      <c r="O21" s="359">
        <f>IF(OR($B21="",$C21="",$D21="",$E21="",$F21=""),"",$G21/VLOOKUP($F21,Euro!$A:$C,3,FALSE))</f>
        <v>9992.4787794133445</v>
      </c>
      <c r="P21" s="360" t="b">
        <f t="shared" si="1"/>
        <v>1</v>
      </c>
      <c r="Q21" s="361">
        <f t="shared" si="2"/>
        <v>4</v>
      </c>
      <c r="R21" s="363">
        <f t="shared" si="3"/>
        <v>59.954872676480072</v>
      </c>
      <c r="S21" s="363" t="str">
        <f t="shared" si="4"/>
        <v/>
      </c>
      <c r="T21" s="363" t="str">
        <f t="shared" si="5"/>
        <v/>
      </c>
    </row>
    <row r="22" spans="1:20" s="85" customFormat="1" ht="63" x14ac:dyDescent="0.25">
      <c r="A22" s="28">
        <v>12</v>
      </c>
      <c r="B22" s="19" t="s">
        <v>1376</v>
      </c>
      <c r="C22" s="19" t="s">
        <v>1377</v>
      </c>
      <c r="D22" s="162" t="s">
        <v>1357</v>
      </c>
      <c r="E22" s="18" t="s">
        <v>1378</v>
      </c>
      <c r="F22" s="30">
        <v>2018</v>
      </c>
      <c r="G22" s="327">
        <v>16029</v>
      </c>
      <c r="H22" s="23" t="s">
        <v>1074</v>
      </c>
      <c r="I22" s="216"/>
      <c r="J22" s="24"/>
      <c r="K22" s="25"/>
      <c r="L22" s="31"/>
      <c r="M22" s="363">
        <f t="shared" si="0"/>
        <v>20.667024820027937</v>
      </c>
      <c r="N22" s="329"/>
      <c r="O22" s="359">
        <f>IF(OR($B22="",$C22="",$D22="",$E22="",$F22=""),"",$G22/VLOOKUP($F22,Euro!$A:$C,3,FALSE))</f>
        <v>3444.5041366713226</v>
      </c>
      <c r="P22" s="360" t="b">
        <f t="shared" si="1"/>
        <v>1</v>
      </c>
      <c r="Q22" s="361">
        <f t="shared" si="2"/>
        <v>7</v>
      </c>
      <c r="R22" s="363">
        <f t="shared" si="3"/>
        <v>20.667024820027937</v>
      </c>
      <c r="S22" s="363" t="str">
        <f t="shared" si="4"/>
        <v/>
      </c>
      <c r="T22" s="363" t="str">
        <f t="shared" si="5"/>
        <v/>
      </c>
    </row>
    <row r="23" spans="1:20" s="85" customFormat="1" ht="63" x14ac:dyDescent="0.25">
      <c r="A23" s="28">
        <v>13</v>
      </c>
      <c r="B23" s="19" t="s">
        <v>1382</v>
      </c>
      <c r="C23" s="20" t="s">
        <v>1381</v>
      </c>
      <c r="D23" s="162" t="s">
        <v>1380</v>
      </c>
      <c r="E23" s="21" t="s">
        <v>1379</v>
      </c>
      <c r="F23" s="32">
        <v>2019</v>
      </c>
      <c r="G23" s="327">
        <v>47600</v>
      </c>
      <c r="H23" s="27"/>
      <c r="I23" s="219"/>
      <c r="J23" s="24" t="s">
        <v>1074</v>
      </c>
      <c r="K23" s="25" t="s">
        <v>1074</v>
      </c>
      <c r="L23" s="31"/>
      <c r="M23" s="363">
        <f t="shared" si="0"/>
        <v>12.055465270889176</v>
      </c>
      <c r="N23" s="329"/>
      <c r="O23" s="359">
        <f>IF(OR($B23="",$C23="",$D23="",$E23="",$F23=""),"",$G23/VLOOKUP($F23,Euro!$A:$C,3,FALSE))</f>
        <v>10046.221059074313</v>
      </c>
      <c r="P23" s="360" t="b">
        <f t="shared" si="1"/>
        <v>1</v>
      </c>
      <c r="Q23" s="361">
        <f t="shared" si="2"/>
        <v>8</v>
      </c>
      <c r="R23" s="363" t="str">
        <f t="shared" si="3"/>
        <v/>
      </c>
      <c r="S23" s="363" t="str">
        <f t="shared" si="4"/>
        <v/>
      </c>
      <c r="T23" s="363">
        <f t="shared" si="5"/>
        <v>12.055465270889176</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K13" sqref="K13"/>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6" t="str">
        <f>IF(ISBLANK(facultate), IF(ISBLANK(departament),"","Departament " &amp; departament), "Facultatea " &amp; facultate)</f>
        <v>Facultatea Mecanică</v>
      </c>
      <c r="C2" s="61"/>
      <c r="D2" s="63"/>
    </row>
    <row r="3" spans="1:4" s="60" customFormat="1" x14ac:dyDescent="0.2">
      <c r="A3" s="346" t="str">
        <f>IF(ISBLANK(departament),"","Departamentul " &amp; departament)</f>
        <v>Departamentul Ingineria Materialelor și Fabricației</v>
      </c>
      <c r="C3" s="61"/>
      <c r="D3" s="63"/>
    </row>
    <row r="4" spans="1:4" x14ac:dyDescent="0.25">
      <c r="A4" s="535" t="s">
        <v>903</v>
      </c>
      <c r="B4" s="535"/>
      <c r="C4" s="535"/>
      <c r="D4" s="535"/>
    </row>
    <row r="5" spans="1:4" ht="42.75" customHeight="1" x14ac:dyDescent="0.25">
      <c r="A5" s="541" t="s">
        <v>1058</v>
      </c>
      <c r="B5" s="535"/>
      <c r="C5" s="535"/>
      <c r="D5" s="535"/>
    </row>
    <row r="6" spans="1:4" ht="13.5" customHeight="1" x14ac:dyDescent="0.25">
      <c r="D6" s="347" t="str">
        <f>CONCATENATE(functie," ",nume_candidat)</f>
        <v>Conferențiar Codrean Cosmin</v>
      </c>
    </row>
    <row r="7" spans="1:4" s="33" customFormat="1" ht="15.75" customHeight="1" x14ac:dyDescent="0.2">
      <c r="A7" s="532" t="s">
        <v>338</v>
      </c>
      <c r="B7" s="589" t="str">
        <f>CONCATENATE("Tip Citare din ultimii ",durata_evaluare," ani")</f>
        <v>Tip Citare din ultimii 5 ani</v>
      </c>
      <c r="C7" s="533" t="s">
        <v>14</v>
      </c>
      <c r="D7" s="533" t="s">
        <v>544</v>
      </c>
    </row>
    <row r="8" spans="1:4" s="33" customFormat="1" ht="31.5" customHeight="1" x14ac:dyDescent="0.2">
      <c r="A8" s="532"/>
      <c r="B8" s="589"/>
      <c r="C8" s="534"/>
      <c r="D8" s="534"/>
    </row>
    <row r="9" spans="1:4" s="33" customFormat="1" x14ac:dyDescent="0.2">
      <c r="A9" s="88"/>
      <c r="B9" s="65"/>
      <c r="C9" s="162"/>
      <c r="D9" s="148">
        <f>SUMIF(D10:D12,"&gt;0")</f>
        <v>580</v>
      </c>
    </row>
    <row r="10" spans="1:4" s="79" customFormat="1" x14ac:dyDescent="0.25">
      <c r="A10" s="37">
        <v>1</v>
      </c>
      <c r="B10" s="13" t="s">
        <v>714</v>
      </c>
      <c r="C10" s="381">
        <v>18</v>
      </c>
      <c r="D10" s="16">
        <f>C10 * (HLOOKUP(B10,ii3punctaje,2,FALSE))</f>
        <v>180</v>
      </c>
    </row>
    <row r="11" spans="1:4" s="33" customFormat="1" x14ac:dyDescent="0.2">
      <c r="A11" s="37">
        <v>2</v>
      </c>
      <c r="B11" s="7" t="s">
        <v>715</v>
      </c>
      <c r="C11" s="381">
        <v>23</v>
      </c>
      <c r="D11" s="382">
        <f>C11 * (HLOOKUP(B11,ii3punctaje,2,FALSE))</f>
        <v>184</v>
      </c>
    </row>
    <row r="12" spans="1:4" s="33" customFormat="1" x14ac:dyDescent="0.2">
      <c r="A12" s="37">
        <v>3</v>
      </c>
      <c r="B12" s="196" t="s">
        <v>716</v>
      </c>
      <c r="C12" s="381">
        <v>72</v>
      </c>
      <c r="D12" s="382">
        <f>C12 * (HLOOKUP(B12,ii3punctaje,2,FALSE))</f>
        <v>216</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7" sqref="C17"/>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Ingineria Materialelor și Fabricației</v>
      </c>
      <c r="E3" s="61"/>
      <c r="F3" s="63"/>
      <c r="G3" s="62"/>
      <c r="H3" s="289"/>
    </row>
    <row r="4" spans="1:8" s="64" customFormat="1" ht="15.75" x14ac:dyDescent="0.25">
      <c r="B4" s="290"/>
      <c r="C4" s="290" t="s">
        <v>903</v>
      </c>
      <c r="D4" s="290"/>
      <c r="E4" s="290"/>
      <c r="F4" s="290"/>
      <c r="G4" s="226"/>
      <c r="H4" s="291"/>
    </row>
    <row r="5" spans="1:8" s="64" customFormat="1" ht="15.75" x14ac:dyDescent="0.25">
      <c r="B5" s="290"/>
      <c r="C5" s="290" t="s">
        <v>927</v>
      </c>
      <c r="D5" s="290"/>
      <c r="E5" s="290"/>
      <c r="F5" s="290"/>
      <c r="G5" s="226"/>
      <c r="H5" s="71"/>
    </row>
    <row r="6" spans="1:8" s="64" customFormat="1" ht="13.5" customHeight="1" x14ac:dyDescent="0.25">
      <c r="A6" s="60"/>
      <c r="D6" s="347" t="str">
        <f>CONCATENATE(functie," ",nume_candidat)</f>
        <v>Conferențiar Codrean Cosmin</v>
      </c>
      <c r="G6" s="70"/>
      <c r="H6" s="71"/>
    </row>
    <row r="7" spans="1:8" ht="15" customHeight="1" x14ac:dyDescent="0.25">
      <c r="B7" s="543" t="s">
        <v>928</v>
      </c>
      <c r="C7" s="543" t="s">
        <v>929</v>
      </c>
      <c r="D7" s="533" t="s">
        <v>544</v>
      </c>
    </row>
    <row r="8" spans="1:8" ht="15" customHeight="1" x14ac:dyDescent="0.25">
      <c r="B8" s="544"/>
      <c r="C8" s="544"/>
      <c r="D8" s="550"/>
    </row>
    <row r="9" spans="1:8" ht="15" customHeight="1" x14ac:dyDescent="0.25">
      <c r="B9" s="544"/>
      <c r="C9" s="544"/>
      <c r="D9" s="550"/>
    </row>
    <row r="10" spans="1:8" ht="15.75" customHeight="1" x14ac:dyDescent="0.25">
      <c r="B10" s="545"/>
      <c r="C10" s="545"/>
      <c r="D10" s="534"/>
    </row>
    <row r="11" spans="1:8" ht="15.75" x14ac:dyDescent="0.25">
      <c r="B11" s="37" t="s">
        <v>718</v>
      </c>
      <c r="C11" s="37">
        <v>4</v>
      </c>
      <c r="D11" s="351">
        <f>C11*200</f>
        <v>800</v>
      </c>
    </row>
    <row r="12" spans="1:8" ht="15.75" x14ac:dyDescent="0.25">
      <c r="B12" s="37" t="s">
        <v>719</v>
      </c>
      <c r="C12" s="37">
        <v>5</v>
      </c>
      <c r="D12" s="351">
        <f>C12*160</f>
        <v>800</v>
      </c>
    </row>
    <row r="13" spans="1:8" ht="15.75" x14ac:dyDescent="0.25">
      <c r="B13" s="37" t="s">
        <v>720</v>
      </c>
      <c r="C13" s="37">
        <v>7</v>
      </c>
      <c r="D13" s="351">
        <f>C13*60</f>
        <v>420</v>
      </c>
    </row>
    <row r="14" spans="1:8" ht="15.75" x14ac:dyDescent="0.25">
      <c r="B14" s="590" t="s">
        <v>930</v>
      </c>
      <c r="C14" s="591"/>
      <c r="D14" s="351">
        <f>SUM(D11:D13)</f>
        <v>2020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J17" sqref="J17"/>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3"/>
      <c r="D1" s="61"/>
      <c r="E1" s="61"/>
      <c r="F1" s="63"/>
    </row>
    <row r="2" spans="1:6" s="60" customFormat="1" x14ac:dyDescent="0.2">
      <c r="A2" s="592" t="s">
        <v>450</v>
      </c>
      <c r="B2" s="592"/>
      <c r="D2" s="61"/>
      <c r="E2" s="61"/>
      <c r="F2" s="63"/>
    </row>
    <row r="3" spans="1:6" x14ac:dyDescent="0.25">
      <c r="A3" s="593" t="s">
        <v>903</v>
      </c>
      <c r="B3" s="593"/>
      <c r="C3" s="593"/>
      <c r="D3" s="593"/>
      <c r="E3" s="593"/>
      <c r="F3" s="593"/>
    </row>
    <row r="4" spans="1:6" x14ac:dyDescent="0.25">
      <c r="A4" s="535" t="s">
        <v>931</v>
      </c>
      <c r="B4" s="535"/>
      <c r="C4" s="535"/>
      <c r="D4" s="535"/>
      <c r="E4" s="535"/>
      <c r="F4" s="535"/>
    </row>
    <row r="5" spans="1:6" x14ac:dyDescent="0.25">
      <c r="C5" s="64"/>
    </row>
    <row r="6" spans="1:6" s="60" customFormat="1" ht="13.5" customHeight="1" x14ac:dyDescent="0.25">
      <c r="A6" s="64"/>
      <c r="B6" s="316"/>
      <c r="C6" s="82"/>
      <c r="D6" s="64"/>
      <c r="E6" s="64"/>
      <c r="F6" s="347" t="str">
        <f>CONCATENATE(functie," ",nume_candidat)</f>
        <v>Conferențiar Codrean Cosmin</v>
      </c>
    </row>
    <row r="7" spans="1:6" ht="15" customHeight="1" x14ac:dyDescent="0.25">
      <c r="A7" s="532" t="s">
        <v>338</v>
      </c>
      <c r="B7" s="532" t="s">
        <v>1029</v>
      </c>
      <c r="C7" s="532" t="s">
        <v>2</v>
      </c>
      <c r="D7" s="532" t="s">
        <v>460</v>
      </c>
      <c r="E7" s="532" t="s">
        <v>814</v>
      </c>
      <c r="F7" s="533" t="s">
        <v>544</v>
      </c>
    </row>
    <row r="8" spans="1:6" x14ac:dyDescent="0.25">
      <c r="A8" s="532"/>
      <c r="B8" s="532"/>
      <c r="C8" s="532"/>
      <c r="D8" s="532"/>
      <c r="E8" s="532"/>
      <c r="F8" s="534"/>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J16" sqref="J16"/>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592" t="s">
        <v>450</v>
      </c>
      <c r="B2" s="592"/>
      <c r="C2" s="62"/>
      <c r="D2" s="61"/>
      <c r="E2" s="61"/>
      <c r="F2" s="63"/>
    </row>
    <row r="3" spans="1:6" x14ac:dyDescent="0.25">
      <c r="A3" s="593" t="s">
        <v>903</v>
      </c>
      <c r="B3" s="593"/>
      <c r="C3" s="593"/>
      <c r="D3" s="593"/>
      <c r="E3" s="593"/>
      <c r="F3" s="593"/>
    </row>
    <row r="4" spans="1:6" ht="68.25" customHeight="1" x14ac:dyDescent="0.25">
      <c r="A4" s="541" t="s">
        <v>936</v>
      </c>
      <c r="B4" s="541"/>
      <c r="C4" s="541"/>
      <c r="D4" s="541"/>
      <c r="E4" s="541"/>
      <c r="F4" s="541"/>
    </row>
    <row r="6" spans="1:6" s="60" customFormat="1" ht="13.5" customHeight="1" x14ac:dyDescent="0.25">
      <c r="A6" s="64"/>
      <c r="B6" s="64"/>
      <c r="C6" s="392"/>
      <c r="D6" s="64"/>
      <c r="E6" s="64"/>
      <c r="F6" s="347" t="str">
        <f>CONCATENATE(functie," ",nume_candidat)</f>
        <v>Conferențiar Codrean Cosmin</v>
      </c>
    </row>
    <row r="7" spans="1:6" ht="15" customHeight="1" x14ac:dyDescent="0.25">
      <c r="A7" s="532" t="s">
        <v>338</v>
      </c>
      <c r="B7" s="532" t="s">
        <v>1029</v>
      </c>
      <c r="C7" s="532" t="s">
        <v>2</v>
      </c>
      <c r="D7" s="532" t="s">
        <v>460</v>
      </c>
      <c r="E7" s="532" t="s">
        <v>814</v>
      </c>
      <c r="F7" s="533" t="s">
        <v>544</v>
      </c>
    </row>
    <row r="8" spans="1:6" x14ac:dyDescent="0.25">
      <c r="A8" s="532"/>
      <c r="B8" s="532"/>
      <c r="C8" s="532"/>
      <c r="D8" s="532"/>
      <c r="E8" s="532"/>
      <c r="F8" s="534"/>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52" zoomScaleNormal="100" workbookViewId="0">
      <selection activeCell="C168" sqref="C168"/>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483</v>
      </c>
      <c r="B1" s="222"/>
      <c r="C1" s="442"/>
      <c r="D1" s="470"/>
      <c r="E1" s="223"/>
      <c r="F1" s="223"/>
    </row>
    <row r="2" spans="1:6" s="224" customFormat="1" x14ac:dyDescent="0.25">
      <c r="A2" s="159" t="str">
        <f>IF(ISBLANK(facultate), IF(ISBLANK(departament),"","Departament " &amp; departament), "Facultatea " &amp; facultate)</f>
        <v>Facultatea Mecanică</v>
      </c>
      <c r="B2" s="222"/>
      <c r="C2" s="442"/>
      <c r="D2" s="470"/>
      <c r="E2" s="223"/>
      <c r="F2" s="223"/>
    </row>
    <row r="3" spans="1:6" s="224" customFormat="1" x14ac:dyDescent="0.25">
      <c r="A3" s="159" t="str">
        <f>IF(ISBLANK(departament),"","Departamentul " &amp; departament)</f>
        <v>Departamentul Ingineria Materialelor și Fabricației</v>
      </c>
      <c r="B3" s="222"/>
      <c r="C3" s="442"/>
      <c r="D3" s="470"/>
      <c r="E3" s="223"/>
      <c r="F3" s="223"/>
    </row>
    <row r="4" spans="1:6" s="226" customFormat="1" ht="15.75" x14ac:dyDescent="0.25">
      <c r="A4" s="225"/>
      <c r="B4" s="225"/>
      <c r="C4" s="288" t="str">
        <f>CONCATENATE(functie," ",nume_candidat)</f>
        <v>Conferențiar Codrean Cosmin</v>
      </c>
      <c r="D4" s="471"/>
    </row>
    <row r="5" spans="1:6" ht="15.75" x14ac:dyDescent="0.25">
      <c r="A5" s="227" t="s">
        <v>605</v>
      </c>
      <c r="B5" s="228" t="s">
        <v>681</v>
      </c>
      <c r="C5" s="443"/>
      <c r="D5" s="472" t="s">
        <v>605</v>
      </c>
      <c r="E5" s="230"/>
    </row>
    <row r="6" spans="1:6" ht="30" customHeight="1" x14ac:dyDescent="0.25">
      <c r="A6" s="232">
        <v>1</v>
      </c>
      <c r="B6" s="233" t="s">
        <v>682</v>
      </c>
      <c r="C6" s="444">
        <f>I.1!L9</f>
        <v>0</v>
      </c>
      <c r="D6" s="473">
        <v>100</v>
      </c>
      <c r="E6" s="234" t="s">
        <v>683</v>
      </c>
    </row>
    <row r="7" spans="1:6" ht="30" customHeight="1" x14ac:dyDescent="0.25">
      <c r="A7" s="235">
        <v>2</v>
      </c>
      <c r="B7" s="236" t="s">
        <v>1085</v>
      </c>
      <c r="C7" s="445">
        <f>SUM(C8,C14,C20,C23)</f>
        <v>105</v>
      </c>
      <c r="D7" s="474" t="s">
        <v>605</v>
      </c>
      <c r="E7" s="237"/>
    </row>
    <row r="8" spans="1:6" ht="30" customHeight="1" x14ac:dyDescent="0.25">
      <c r="A8" s="232">
        <v>2.1</v>
      </c>
      <c r="B8" s="233" t="s">
        <v>787</v>
      </c>
      <c r="C8" s="446">
        <f>SUM(C9:C13)</f>
        <v>0</v>
      </c>
      <c r="D8" s="475" t="s">
        <v>605</v>
      </c>
      <c r="E8" s="234" t="s">
        <v>605</v>
      </c>
    </row>
    <row r="9" spans="1:6" ht="30" customHeight="1" x14ac:dyDescent="0.25">
      <c r="A9" s="238" t="s">
        <v>325</v>
      </c>
      <c r="B9" s="239" t="s">
        <v>788</v>
      </c>
      <c r="C9" s="447">
        <f>'I.2.1a'!$I$9</f>
        <v>0</v>
      </c>
      <c r="D9" s="432" t="s">
        <v>684</v>
      </c>
      <c r="E9" s="515" t="s">
        <v>1084</v>
      </c>
    </row>
    <row r="10" spans="1:6" ht="30" customHeight="1" x14ac:dyDescent="0.25">
      <c r="A10" s="240" t="s">
        <v>326</v>
      </c>
      <c r="B10" s="234" t="s">
        <v>789</v>
      </c>
      <c r="C10" s="447">
        <f>'I.2.1b'!$I$9</f>
        <v>0</v>
      </c>
      <c r="D10" s="475" t="s">
        <v>685</v>
      </c>
      <c r="E10" s="516"/>
    </row>
    <row r="11" spans="1:6" ht="30" customHeight="1" x14ac:dyDescent="0.25">
      <c r="A11" s="240" t="s">
        <v>651</v>
      </c>
      <c r="B11" s="234" t="s">
        <v>790</v>
      </c>
      <c r="C11" s="447">
        <f>'I.2.1c'!$I$9</f>
        <v>0</v>
      </c>
      <c r="D11" s="475" t="s">
        <v>686</v>
      </c>
      <c r="E11" s="516"/>
    </row>
    <row r="12" spans="1:6" ht="45" x14ac:dyDescent="0.25">
      <c r="A12" s="240" t="s">
        <v>662</v>
      </c>
      <c r="B12" s="234" t="s">
        <v>791</v>
      </c>
      <c r="C12" s="447">
        <f>'I.2.1d'!$I$9</f>
        <v>0</v>
      </c>
      <c r="D12" s="475" t="s">
        <v>687</v>
      </c>
      <c r="E12" s="516"/>
    </row>
    <row r="13" spans="1:6" ht="30" customHeight="1" x14ac:dyDescent="0.25">
      <c r="A13" s="240" t="s">
        <v>663</v>
      </c>
      <c r="B13" s="234" t="s">
        <v>803</v>
      </c>
      <c r="C13" s="447">
        <f>'I.2.1e'!$I$9</f>
        <v>0</v>
      </c>
      <c r="D13" s="475" t="s">
        <v>688</v>
      </c>
      <c r="E13" s="516"/>
    </row>
    <row r="14" spans="1:6" ht="30" customHeight="1" x14ac:dyDescent="0.25">
      <c r="A14" s="232">
        <v>2.2000000000000002</v>
      </c>
      <c r="B14" s="241" t="s">
        <v>675</v>
      </c>
      <c r="C14" s="448">
        <f>SUM(C15:C19)</f>
        <v>0</v>
      </c>
      <c r="D14" s="475" t="s">
        <v>605</v>
      </c>
      <c r="E14" s="516"/>
    </row>
    <row r="15" spans="1:6" ht="30" customHeight="1" x14ac:dyDescent="0.25">
      <c r="A15" s="240" t="s">
        <v>670</v>
      </c>
      <c r="B15" s="234" t="s">
        <v>676</v>
      </c>
      <c r="C15" s="447">
        <f>'I.2.2a'!$I$9</f>
        <v>0</v>
      </c>
      <c r="D15" s="475" t="s">
        <v>689</v>
      </c>
      <c r="E15" s="516"/>
    </row>
    <row r="16" spans="1:6" ht="30" customHeight="1" x14ac:dyDescent="0.25">
      <c r="A16" s="240" t="s">
        <v>671</v>
      </c>
      <c r="B16" s="242" t="s">
        <v>677</v>
      </c>
      <c r="C16" s="447">
        <f>'I.2.2b'!$I$9</f>
        <v>0</v>
      </c>
      <c r="D16" s="475" t="s">
        <v>690</v>
      </c>
      <c r="E16" s="516"/>
    </row>
    <row r="17" spans="1:5" ht="30" customHeight="1" x14ac:dyDescent="0.25">
      <c r="A17" s="240" t="s">
        <v>672</v>
      </c>
      <c r="B17" s="242" t="s">
        <v>678</v>
      </c>
      <c r="C17" s="447">
        <f>'I.2.2c'!$I$9</f>
        <v>0</v>
      </c>
      <c r="D17" s="475" t="s">
        <v>691</v>
      </c>
      <c r="E17" s="516"/>
    </row>
    <row r="18" spans="1:5" ht="30" customHeight="1" x14ac:dyDescent="0.25">
      <c r="A18" s="240" t="s">
        <v>673</v>
      </c>
      <c r="B18" s="234" t="s">
        <v>679</v>
      </c>
      <c r="C18" s="447">
        <f>'I.2.2d'!$I$9</f>
        <v>0</v>
      </c>
      <c r="D18" s="475" t="s">
        <v>692</v>
      </c>
      <c r="E18" s="516"/>
    </row>
    <row r="19" spans="1:5" ht="30" customHeight="1" x14ac:dyDescent="0.25">
      <c r="A19" s="240" t="s">
        <v>674</v>
      </c>
      <c r="B19" s="234" t="s">
        <v>680</v>
      </c>
      <c r="C19" s="447">
        <f>'I.2.2e'!$I$9</f>
        <v>0</v>
      </c>
      <c r="D19" s="475" t="s">
        <v>693</v>
      </c>
      <c r="E19" s="516"/>
    </row>
    <row r="20" spans="1:5" ht="30" customHeight="1" x14ac:dyDescent="0.25">
      <c r="A20" s="232">
        <v>2.2999999999999998</v>
      </c>
      <c r="B20" s="233" t="s">
        <v>804</v>
      </c>
      <c r="C20" s="446">
        <f>SUM(C21:C22)</f>
        <v>105</v>
      </c>
      <c r="D20" s="475" t="s">
        <v>605</v>
      </c>
      <c r="E20" s="516"/>
    </row>
    <row r="21" spans="1:5" ht="30" customHeight="1" x14ac:dyDescent="0.25">
      <c r="A21" s="240" t="s">
        <v>694</v>
      </c>
      <c r="B21" s="234" t="s">
        <v>805</v>
      </c>
      <c r="C21" s="446">
        <f>'I.2.3a'!I9</f>
        <v>105</v>
      </c>
      <c r="D21" s="475" t="s">
        <v>695</v>
      </c>
      <c r="E21" s="516"/>
    </row>
    <row r="22" spans="1:5" ht="30" customHeight="1" x14ac:dyDescent="0.25">
      <c r="A22" s="240" t="s">
        <v>696</v>
      </c>
      <c r="B22" s="234" t="s">
        <v>806</v>
      </c>
      <c r="C22" s="446">
        <f>'I.2.3b'!I9</f>
        <v>0</v>
      </c>
      <c r="D22" s="475" t="s">
        <v>688</v>
      </c>
      <c r="E22" s="517"/>
    </row>
    <row r="23" spans="1:5" ht="30" customHeight="1" x14ac:dyDescent="0.25">
      <c r="A23" s="232">
        <v>2.4</v>
      </c>
      <c r="B23" s="233" t="s">
        <v>697</v>
      </c>
      <c r="C23" s="444">
        <f>'I.2.4'!I9</f>
        <v>0</v>
      </c>
      <c r="D23" s="475" t="s">
        <v>698</v>
      </c>
      <c r="E23" s="233" t="s">
        <v>605</v>
      </c>
    </row>
    <row r="24" spans="1:5" ht="105" x14ac:dyDescent="0.25">
      <c r="A24" s="235">
        <v>3</v>
      </c>
      <c r="B24" s="236" t="s">
        <v>1206</v>
      </c>
      <c r="C24" s="449">
        <f>I.3!I11</f>
        <v>50</v>
      </c>
      <c r="D24" s="432" t="s">
        <v>1087</v>
      </c>
      <c r="E24" s="239" t="s">
        <v>1086</v>
      </c>
    </row>
    <row r="25" spans="1:5" ht="30" customHeight="1" x14ac:dyDescent="0.25">
      <c r="A25" s="232">
        <v>4</v>
      </c>
      <c r="B25" s="233" t="s">
        <v>699</v>
      </c>
      <c r="C25" s="446">
        <f>I.4!E11</f>
        <v>190</v>
      </c>
      <c r="D25" s="475">
        <v>10</v>
      </c>
      <c r="E25" s="234" t="s">
        <v>700</v>
      </c>
    </row>
    <row r="26" spans="1:5" ht="60" x14ac:dyDescent="0.25">
      <c r="A26" s="232">
        <v>5</v>
      </c>
      <c r="B26" s="233" t="s">
        <v>1083</v>
      </c>
      <c r="C26" s="446">
        <f>I.5!D11</f>
        <v>179</v>
      </c>
      <c r="D26" s="475" t="s">
        <v>1202</v>
      </c>
      <c r="E26" s="234" t="s">
        <v>605</v>
      </c>
    </row>
    <row r="27" spans="1:5" ht="60" x14ac:dyDescent="0.25">
      <c r="A27" s="235">
        <v>6</v>
      </c>
      <c r="B27" s="236" t="s">
        <v>1203</v>
      </c>
      <c r="C27" s="449">
        <f>I.6!F11</f>
        <v>0</v>
      </c>
      <c r="D27" s="433" t="s">
        <v>1089</v>
      </c>
      <c r="E27" s="239" t="s">
        <v>1088</v>
      </c>
    </row>
    <row r="28" spans="1:5" ht="45" x14ac:dyDescent="0.25">
      <c r="A28" s="235">
        <v>7</v>
      </c>
      <c r="B28" s="236" t="s">
        <v>1205</v>
      </c>
      <c r="C28" s="449">
        <f>I.7!F11</f>
        <v>0</v>
      </c>
      <c r="D28" s="476" t="s">
        <v>1091</v>
      </c>
      <c r="E28" s="239" t="s">
        <v>1090</v>
      </c>
    </row>
    <row r="29" spans="1:5" ht="60" x14ac:dyDescent="0.25">
      <c r="A29" s="232">
        <v>8</v>
      </c>
      <c r="B29" s="233" t="s">
        <v>1204</v>
      </c>
      <c r="C29" s="446">
        <f>I.8!E11</f>
        <v>0</v>
      </c>
      <c r="D29" s="432" t="s">
        <v>1092</v>
      </c>
      <c r="E29" s="239" t="s">
        <v>701</v>
      </c>
    </row>
    <row r="30" spans="1:5" ht="30" customHeight="1" x14ac:dyDescent="0.25">
      <c r="A30" s="235">
        <v>9</v>
      </c>
      <c r="B30" s="236" t="s">
        <v>702</v>
      </c>
      <c r="C30" s="449">
        <f>I.9!D11</f>
        <v>20</v>
      </c>
      <c r="D30" s="432" t="s">
        <v>703</v>
      </c>
      <c r="E30" s="239" t="s">
        <v>831</v>
      </c>
    </row>
    <row r="31" spans="1:5" x14ac:dyDescent="0.25">
      <c r="A31" s="243" t="s">
        <v>605</v>
      </c>
      <c r="B31" s="244" t="s">
        <v>704</v>
      </c>
      <c r="C31" s="457" t="s">
        <v>705</v>
      </c>
      <c r="D31" s="477" t="s">
        <v>605</v>
      </c>
      <c r="E31" s="245" t="s">
        <v>605</v>
      </c>
    </row>
    <row r="32" spans="1:5" x14ac:dyDescent="0.25">
      <c r="A32" s="246"/>
      <c r="B32" s="247" t="s">
        <v>605</v>
      </c>
      <c r="C32" s="458" t="s">
        <v>706</v>
      </c>
      <c r="D32" s="478"/>
      <c r="E32" s="248"/>
    </row>
    <row r="33" spans="1:5" x14ac:dyDescent="0.25">
      <c r="A33" s="246"/>
      <c r="B33" s="247" t="s">
        <v>707</v>
      </c>
      <c r="C33" s="458" t="s">
        <v>708</v>
      </c>
      <c r="D33" s="478"/>
      <c r="E33" s="248"/>
    </row>
    <row r="34" spans="1:5" x14ac:dyDescent="0.25">
      <c r="A34" s="249"/>
      <c r="B34" s="250"/>
      <c r="C34" s="459" t="s">
        <v>709</v>
      </c>
      <c r="D34" s="479"/>
      <c r="E34" s="250"/>
    </row>
    <row r="35" spans="1:5" ht="15.75" x14ac:dyDescent="0.25">
      <c r="A35" s="227" t="s">
        <v>605</v>
      </c>
      <c r="B35" s="228" t="s">
        <v>681</v>
      </c>
      <c r="C35" s="450">
        <f>SUM(C6,C7,C24,C25,C27,C26,C28,C29,C30)</f>
        <v>544</v>
      </c>
      <c r="D35" s="472" t="s">
        <v>605</v>
      </c>
      <c r="E35" s="229" t="s">
        <v>605</v>
      </c>
    </row>
    <row r="37" spans="1:5" ht="15.75" x14ac:dyDescent="0.25">
      <c r="A37" s="227" t="s">
        <v>605</v>
      </c>
      <c r="B37" s="228" t="s">
        <v>710</v>
      </c>
      <c r="C37" s="443"/>
      <c r="D37" s="480" t="s">
        <v>605</v>
      </c>
      <c r="E37" s="251"/>
    </row>
    <row r="38" spans="1:5" ht="15.75" x14ac:dyDescent="0.25">
      <c r="A38" s="252">
        <v>1</v>
      </c>
      <c r="B38" s="253" t="s">
        <v>792</v>
      </c>
      <c r="C38" s="449">
        <f>SUM(C39:C42)</f>
        <v>2112.5</v>
      </c>
      <c r="D38" s="276" t="s">
        <v>605</v>
      </c>
      <c r="E38" s="254" t="s">
        <v>711</v>
      </c>
    </row>
    <row r="39" spans="1:5" ht="105" x14ac:dyDescent="0.25">
      <c r="A39" s="255">
        <v>1.1000000000000001</v>
      </c>
      <c r="B39" s="434" t="s">
        <v>1093</v>
      </c>
      <c r="C39" s="449">
        <f>'II1.1BDI'!G9+'II1.1'!G9</f>
        <v>1911.5</v>
      </c>
      <c r="D39" s="481" t="s">
        <v>1094</v>
      </c>
      <c r="E39" s="518" t="s">
        <v>1097</v>
      </c>
    </row>
    <row r="40" spans="1:5" ht="75" x14ac:dyDescent="0.25">
      <c r="A40" s="255">
        <v>1.2</v>
      </c>
      <c r="B40" s="434" t="s">
        <v>1095</v>
      </c>
      <c r="C40" s="449">
        <f>'II1.2'!G9</f>
        <v>201</v>
      </c>
      <c r="D40" s="482" t="s">
        <v>1096</v>
      </c>
      <c r="E40" s="519"/>
    </row>
    <row r="41" spans="1:5" ht="45" x14ac:dyDescent="0.25">
      <c r="A41" s="255">
        <v>1.3</v>
      </c>
      <c r="B41" s="467" t="s">
        <v>1098</v>
      </c>
      <c r="C41" s="449">
        <f>'II1.3'!G9</f>
        <v>0</v>
      </c>
      <c r="D41" s="482" t="s">
        <v>1099</v>
      </c>
      <c r="E41" s="256" t="s">
        <v>712</v>
      </c>
    </row>
    <row r="42" spans="1:5" ht="15.75" x14ac:dyDescent="0.25">
      <c r="A42" s="257">
        <v>1.4</v>
      </c>
      <c r="B42" s="440" t="s">
        <v>1102</v>
      </c>
      <c r="C42" s="449">
        <f>'II1.4'!I9</f>
        <v>0</v>
      </c>
      <c r="D42" s="483"/>
      <c r="E42" s="435"/>
    </row>
    <row r="43" spans="1:5" ht="15.75" x14ac:dyDescent="0.25">
      <c r="A43" s="441" t="s">
        <v>1107</v>
      </c>
      <c r="B43" s="440" t="s">
        <v>1103</v>
      </c>
      <c r="C43" s="449">
        <f>'II1.4'!S9</f>
        <v>0</v>
      </c>
      <c r="D43" s="484" t="s">
        <v>1104</v>
      </c>
      <c r="E43" s="435" t="s">
        <v>1100</v>
      </c>
    </row>
    <row r="44" spans="1:5" ht="15.75" x14ac:dyDescent="0.25">
      <c r="A44" s="441" t="s">
        <v>1108</v>
      </c>
      <c r="B44" s="440" t="s">
        <v>1105</v>
      </c>
      <c r="C44" s="449">
        <f>C42-C43</f>
        <v>0</v>
      </c>
      <c r="D44" s="484" t="s">
        <v>1106</v>
      </c>
      <c r="E44" s="435" t="s">
        <v>1100</v>
      </c>
    </row>
    <row r="45" spans="1:5" ht="45" x14ac:dyDescent="0.25">
      <c r="A45" s="258">
        <v>2</v>
      </c>
      <c r="B45" s="259" t="s">
        <v>713</v>
      </c>
      <c r="C45" s="449">
        <f>C46+C50</f>
        <v>933.93341435658692</v>
      </c>
      <c r="D45" s="276" t="s">
        <v>605</v>
      </c>
      <c r="E45" s="253" t="s">
        <v>605</v>
      </c>
    </row>
    <row r="46" spans="1:5" ht="60" x14ac:dyDescent="0.25">
      <c r="A46" s="260" t="s">
        <v>325</v>
      </c>
      <c r="B46" s="261" t="s">
        <v>793</v>
      </c>
      <c r="C46" s="449">
        <f>'II2.1a'!M9</f>
        <v>64</v>
      </c>
      <c r="D46" s="484"/>
      <c r="E46" s="520" t="s">
        <v>1121</v>
      </c>
    </row>
    <row r="47" spans="1:5" ht="30" x14ac:dyDescent="0.25">
      <c r="A47" s="260"/>
      <c r="B47" s="466" t="s">
        <v>1110</v>
      </c>
      <c r="C47" s="449">
        <f>'II2.1a'!Q9</f>
        <v>0</v>
      </c>
      <c r="D47" s="485" t="s">
        <v>1113</v>
      </c>
      <c r="E47" s="521"/>
    </row>
    <row r="48" spans="1:5" ht="30" x14ac:dyDescent="0.25">
      <c r="A48" s="260"/>
      <c r="B48" s="466" t="s">
        <v>1111</v>
      </c>
      <c r="C48" s="449">
        <f>'II2.1a'!R9</f>
        <v>0</v>
      </c>
      <c r="D48" s="485" t="s">
        <v>1114</v>
      </c>
      <c r="E48" s="521"/>
    </row>
    <row r="49" spans="1:5" ht="45" x14ac:dyDescent="0.25">
      <c r="A49" s="260"/>
      <c r="B49" s="466" t="s">
        <v>1112</v>
      </c>
      <c r="C49" s="449">
        <f>'II2.1a'!S9</f>
        <v>64</v>
      </c>
      <c r="D49" s="484" t="s">
        <v>1115</v>
      </c>
      <c r="E49" s="521"/>
    </row>
    <row r="50" spans="1:5" ht="45" x14ac:dyDescent="0.25">
      <c r="A50" s="260" t="s">
        <v>326</v>
      </c>
      <c r="B50" s="468" t="s">
        <v>794</v>
      </c>
      <c r="C50" s="449">
        <f>'II2.1b'!M9</f>
        <v>869.93341435658692</v>
      </c>
      <c r="D50" s="486"/>
      <c r="E50" s="521"/>
    </row>
    <row r="51" spans="1:5" ht="30" x14ac:dyDescent="0.25">
      <c r="A51" s="260"/>
      <c r="B51" s="468" t="s">
        <v>1116</v>
      </c>
      <c r="C51" s="449">
        <f>'II2.1b'!R9</f>
        <v>147.17608386206643</v>
      </c>
      <c r="D51" s="485" t="s">
        <v>1119</v>
      </c>
      <c r="E51" s="521"/>
    </row>
    <row r="52" spans="1:5" ht="30" x14ac:dyDescent="0.25">
      <c r="A52" s="260"/>
      <c r="B52" s="468" t="s">
        <v>1117</v>
      </c>
      <c r="C52" s="449">
        <f>'II2.1b'!S9</f>
        <v>0</v>
      </c>
      <c r="D52" s="485" t="s">
        <v>1120</v>
      </c>
      <c r="E52" s="521"/>
    </row>
    <row r="53" spans="1:5" ht="45" x14ac:dyDescent="0.25">
      <c r="A53" s="260"/>
      <c r="B53" s="468" t="s">
        <v>1118</v>
      </c>
      <c r="C53" s="449">
        <f>'II2.1b'!T9</f>
        <v>722.7573304945206</v>
      </c>
      <c r="D53" s="484" t="s">
        <v>1115</v>
      </c>
      <c r="E53" s="521"/>
    </row>
    <row r="54" spans="1:5" ht="15.75" x14ac:dyDescent="0.25">
      <c r="A54" s="262">
        <v>3</v>
      </c>
      <c r="B54" s="263" t="s">
        <v>1059</v>
      </c>
      <c r="C54" s="449">
        <f>'II3'!D9</f>
        <v>580</v>
      </c>
      <c r="D54" s="487" t="s">
        <v>605</v>
      </c>
      <c r="E54" s="522" t="s">
        <v>1128</v>
      </c>
    </row>
    <row r="55" spans="1:5" ht="15.75" x14ac:dyDescent="0.25">
      <c r="A55" s="469">
        <v>3.1</v>
      </c>
      <c r="B55" s="467" t="s">
        <v>714</v>
      </c>
      <c r="C55" s="449">
        <f>'II3'!D10</f>
        <v>180</v>
      </c>
      <c r="D55" s="487" t="s">
        <v>1122</v>
      </c>
      <c r="E55" s="523"/>
    </row>
    <row r="56" spans="1:5" ht="15.75" x14ac:dyDescent="0.25">
      <c r="A56" s="469">
        <v>3.2</v>
      </c>
      <c r="B56" s="467" t="s">
        <v>715</v>
      </c>
      <c r="C56" s="449">
        <f>'II3'!D11</f>
        <v>184</v>
      </c>
      <c r="D56" s="487" t="s">
        <v>1123</v>
      </c>
      <c r="E56" s="523"/>
    </row>
    <row r="57" spans="1:5" ht="15.75" x14ac:dyDescent="0.25">
      <c r="A57" s="469">
        <v>3.3</v>
      </c>
      <c r="B57" s="467" t="s">
        <v>716</v>
      </c>
      <c r="C57" s="449">
        <f>'II3'!D12</f>
        <v>216</v>
      </c>
      <c r="D57" s="487" t="s">
        <v>1124</v>
      </c>
      <c r="E57" s="523"/>
    </row>
    <row r="58" spans="1:5" ht="15.75" x14ac:dyDescent="0.25">
      <c r="A58" s="252">
        <v>4</v>
      </c>
      <c r="B58" s="253" t="s">
        <v>717</v>
      </c>
      <c r="C58" s="449">
        <f>'II4'!D14</f>
        <v>2020</v>
      </c>
      <c r="D58" s="486" t="s">
        <v>605</v>
      </c>
      <c r="E58" s="523"/>
    </row>
    <row r="59" spans="1:5" ht="18" x14ac:dyDescent="0.25">
      <c r="A59" s="441">
        <v>4.0999999999999996</v>
      </c>
      <c r="B59" s="440" t="s">
        <v>718</v>
      </c>
      <c r="C59" s="449">
        <f>'II4'!D11</f>
        <v>800</v>
      </c>
      <c r="D59" s="485" t="s">
        <v>1125</v>
      </c>
      <c r="E59" s="523"/>
    </row>
    <row r="60" spans="1:5" ht="18" x14ac:dyDescent="0.25">
      <c r="A60" s="441">
        <v>4.2</v>
      </c>
      <c r="B60" s="440" t="s">
        <v>719</v>
      </c>
      <c r="C60" s="449">
        <f>'II4'!D12</f>
        <v>800</v>
      </c>
      <c r="D60" s="485" t="s">
        <v>1126</v>
      </c>
      <c r="E60" s="523"/>
    </row>
    <row r="61" spans="1:5" ht="18" x14ac:dyDescent="0.25">
      <c r="A61" s="441">
        <v>4.3</v>
      </c>
      <c r="B61" s="440" t="s">
        <v>720</v>
      </c>
      <c r="C61" s="449">
        <f>'II4'!D13</f>
        <v>420</v>
      </c>
      <c r="D61" s="485" t="s">
        <v>1127</v>
      </c>
      <c r="E61" s="524"/>
    </row>
    <row r="62" spans="1:5" ht="15.75" x14ac:dyDescent="0.25">
      <c r="A62" s="252">
        <v>5</v>
      </c>
      <c r="B62" s="253" t="s">
        <v>795</v>
      </c>
      <c r="C62" s="449">
        <f>SUM(C63,C71,C76,C79)</f>
        <v>0</v>
      </c>
      <c r="D62" s="486" t="s">
        <v>605</v>
      </c>
      <c r="E62" s="254" t="s">
        <v>605</v>
      </c>
    </row>
    <row r="63" spans="1:5" ht="15.75" x14ac:dyDescent="0.25">
      <c r="A63" s="252" t="s">
        <v>721</v>
      </c>
      <c r="B63" s="253" t="s">
        <v>1048</v>
      </c>
      <c r="C63" s="449">
        <f>SUM(C64:C70)</f>
        <v>0</v>
      </c>
      <c r="D63" s="486" t="s">
        <v>605</v>
      </c>
      <c r="E63" s="254" t="s">
        <v>605</v>
      </c>
    </row>
    <row r="64" spans="1:5" ht="95.25" customHeight="1" x14ac:dyDescent="0.25">
      <c r="A64" s="255" t="s">
        <v>722</v>
      </c>
      <c r="B64" s="467" t="s">
        <v>1129</v>
      </c>
      <c r="C64" s="449">
        <f>total_arh1a_5</f>
        <v>0</v>
      </c>
      <c r="D64" s="488" t="s">
        <v>1130</v>
      </c>
      <c r="E64" s="256" t="s">
        <v>724</v>
      </c>
    </row>
    <row r="65" spans="1:5" ht="180" x14ac:dyDescent="0.25">
      <c r="A65" s="255" t="s">
        <v>725</v>
      </c>
      <c r="B65" s="467" t="s">
        <v>1131</v>
      </c>
      <c r="C65" s="449">
        <f>II5.1.2!total_arh1a_5</f>
        <v>0</v>
      </c>
      <c r="D65" s="489" t="s">
        <v>1132</v>
      </c>
      <c r="E65" s="256" t="s">
        <v>724</v>
      </c>
    </row>
    <row r="66" spans="1:5" ht="60" x14ac:dyDescent="0.25">
      <c r="A66" s="255" t="s">
        <v>726</v>
      </c>
      <c r="B66" s="467" t="s">
        <v>1133</v>
      </c>
      <c r="C66" s="449">
        <f>total_arh2a_5</f>
        <v>0</v>
      </c>
      <c r="D66" s="488" t="s">
        <v>1134</v>
      </c>
      <c r="E66" s="256" t="s">
        <v>724</v>
      </c>
    </row>
    <row r="67" spans="1:5" ht="45" x14ac:dyDescent="0.25">
      <c r="A67" s="255" t="s">
        <v>727</v>
      </c>
      <c r="B67" s="467" t="s">
        <v>1135</v>
      </c>
      <c r="C67" s="449">
        <f>total_arh2b_5</f>
        <v>0</v>
      </c>
      <c r="D67" s="488" t="s">
        <v>1136</v>
      </c>
      <c r="E67" s="256" t="s">
        <v>724</v>
      </c>
    </row>
    <row r="68" spans="1:5" ht="105" x14ac:dyDescent="0.25">
      <c r="A68" s="255" t="s">
        <v>728</v>
      </c>
      <c r="B68" s="467" t="s">
        <v>1137</v>
      </c>
      <c r="C68" s="449">
        <f>total_arh3a_5</f>
        <v>0</v>
      </c>
      <c r="D68" s="488" t="s">
        <v>1138</v>
      </c>
      <c r="E68" s="256" t="s">
        <v>724</v>
      </c>
    </row>
    <row r="69" spans="1:5" ht="75" x14ac:dyDescent="0.25">
      <c r="A69" s="255" t="s">
        <v>729</v>
      </c>
      <c r="B69" s="467" t="s">
        <v>1139</v>
      </c>
      <c r="C69" s="449">
        <f>total_arh3b_5</f>
        <v>0</v>
      </c>
      <c r="D69" s="488" t="s">
        <v>1140</v>
      </c>
      <c r="E69" s="256" t="s">
        <v>724</v>
      </c>
    </row>
    <row r="70" spans="1:5" ht="60" x14ac:dyDescent="0.25">
      <c r="A70" s="255" t="s">
        <v>730</v>
      </c>
      <c r="B70" s="467" t="s">
        <v>1160</v>
      </c>
      <c r="C70" s="449">
        <f>total_arh3c_5</f>
        <v>0</v>
      </c>
      <c r="D70" s="488" t="s">
        <v>1141</v>
      </c>
      <c r="E70" s="256" t="s">
        <v>724</v>
      </c>
    </row>
    <row r="71" spans="1:5" ht="15.75" x14ac:dyDescent="0.25">
      <c r="A71" s="252" t="s">
        <v>731</v>
      </c>
      <c r="B71" s="253" t="s">
        <v>1051</v>
      </c>
      <c r="C71" s="449">
        <f>SUM(C72:C75)</f>
        <v>0</v>
      </c>
      <c r="D71" s="486" t="s">
        <v>605</v>
      </c>
      <c r="E71" s="254" t="s">
        <v>605</v>
      </c>
    </row>
    <row r="72" spans="1:5" ht="105" x14ac:dyDescent="0.25">
      <c r="A72" s="255" t="s">
        <v>732</v>
      </c>
      <c r="B72" s="467" t="s">
        <v>1161</v>
      </c>
      <c r="C72" s="449">
        <f>'II5.2.1'!I9</f>
        <v>0</v>
      </c>
      <c r="D72" s="489" t="s">
        <v>1188</v>
      </c>
      <c r="E72" s="467" t="s">
        <v>1142</v>
      </c>
    </row>
    <row r="73" spans="1:5" ht="75" x14ac:dyDescent="0.25">
      <c r="A73" s="255" t="s">
        <v>733</v>
      </c>
      <c r="B73" s="467" t="s">
        <v>1162</v>
      </c>
      <c r="C73" s="449">
        <f>'II5.2.2'!G9</f>
        <v>0</v>
      </c>
      <c r="D73" s="489" t="s">
        <v>1189</v>
      </c>
      <c r="E73" s="467" t="s">
        <v>1143</v>
      </c>
    </row>
    <row r="74" spans="1:5" ht="30" x14ac:dyDescent="0.25">
      <c r="A74" s="257" t="s">
        <v>735</v>
      </c>
      <c r="B74" s="254" t="s">
        <v>768</v>
      </c>
      <c r="C74" s="449">
        <f>'II5.2.3'!D9</f>
        <v>0</v>
      </c>
      <c r="D74" s="486">
        <v>20</v>
      </c>
      <c r="E74" s="254" t="s">
        <v>701</v>
      </c>
    </row>
    <row r="75" spans="1:5" ht="75" x14ac:dyDescent="0.25">
      <c r="A75" s="255" t="s">
        <v>736</v>
      </c>
      <c r="B75" s="467" t="s">
        <v>1163</v>
      </c>
      <c r="C75" s="449">
        <f>'II5.2.4'!G9</f>
        <v>0</v>
      </c>
      <c r="D75" s="489" t="s">
        <v>1182</v>
      </c>
      <c r="E75" s="256" t="s">
        <v>737</v>
      </c>
    </row>
    <row r="76" spans="1:5" ht="15.75" x14ac:dyDescent="0.25">
      <c r="A76" s="252" t="s">
        <v>738</v>
      </c>
      <c r="B76" s="253" t="s">
        <v>1049</v>
      </c>
      <c r="C76" s="449">
        <f>'II5.3'!F9</f>
        <v>0</v>
      </c>
      <c r="D76" s="486" t="s">
        <v>605</v>
      </c>
      <c r="E76" s="254" t="s">
        <v>605</v>
      </c>
    </row>
    <row r="77" spans="1:5" ht="30" x14ac:dyDescent="0.25">
      <c r="A77" s="441" t="s">
        <v>1144</v>
      </c>
      <c r="B77" s="440" t="s">
        <v>1145</v>
      </c>
      <c r="C77" s="449">
        <f>'II5.3'!I9</f>
        <v>0</v>
      </c>
      <c r="D77" s="486">
        <v>10</v>
      </c>
      <c r="E77" s="254" t="s">
        <v>734</v>
      </c>
    </row>
    <row r="78" spans="1:5" ht="15.75" x14ac:dyDescent="0.25">
      <c r="A78" s="441" t="s">
        <v>1146</v>
      </c>
      <c r="B78" s="440" t="s">
        <v>1147</v>
      </c>
      <c r="C78" s="449">
        <f>'II5.3'!J9</f>
        <v>0</v>
      </c>
      <c r="D78" s="486">
        <v>8</v>
      </c>
      <c r="E78" s="254" t="s">
        <v>1148</v>
      </c>
    </row>
    <row r="79" spans="1:5" ht="15.75" x14ac:dyDescent="0.25">
      <c r="A79" s="252" t="s">
        <v>740</v>
      </c>
      <c r="B79" s="253" t="s">
        <v>1050</v>
      </c>
      <c r="C79" s="449">
        <f>total_sport</f>
        <v>0</v>
      </c>
      <c r="D79" s="486" t="s">
        <v>605</v>
      </c>
      <c r="E79" s="264" t="s">
        <v>605</v>
      </c>
    </row>
    <row r="80" spans="1:5" ht="105" x14ac:dyDescent="0.25">
      <c r="A80" s="441" t="s">
        <v>1149</v>
      </c>
      <c r="B80" s="440" t="s">
        <v>1164</v>
      </c>
      <c r="C80" s="449">
        <f>total_sport</f>
        <v>0</v>
      </c>
      <c r="D80" s="485" t="s">
        <v>1187</v>
      </c>
      <c r="E80" s="264"/>
    </row>
    <row r="81" spans="1:5" ht="15.75" x14ac:dyDescent="0.25">
      <c r="A81" s="252">
        <v>6</v>
      </c>
      <c r="B81" s="253" t="s">
        <v>969</v>
      </c>
      <c r="C81" s="449">
        <f>'II6'!E15</f>
        <v>65</v>
      </c>
      <c r="E81" s="254" t="s">
        <v>605</v>
      </c>
    </row>
    <row r="82" spans="1:5" s="500" customFormat="1" ht="15.75" x14ac:dyDescent="0.25">
      <c r="A82" s="501" t="s">
        <v>1226</v>
      </c>
      <c r="B82" s="467" t="s">
        <v>741</v>
      </c>
      <c r="C82" s="449">
        <f>'II6'!E11</f>
        <v>0</v>
      </c>
      <c r="D82" s="486">
        <v>200</v>
      </c>
      <c r="E82" s="440"/>
    </row>
    <row r="83" spans="1:5" s="500" customFormat="1" ht="15.75" x14ac:dyDescent="0.25">
      <c r="A83" s="469">
        <v>6.1</v>
      </c>
      <c r="B83" s="467" t="s">
        <v>1150</v>
      </c>
      <c r="C83" s="449">
        <f>'II6'!E12</f>
        <v>0</v>
      </c>
      <c r="D83" s="489" t="s">
        <v>1151</v>
      </c>
      <c r="E83" s="440"/>
    </row>
    <row r="84" spans="1:5" s="500" customFormat="1" ht="15.75" x14ac:dyDescent="0.25">
      <c r="A84" s="469">
        <v>6.2</v>
      </c>
      <c r="B84" s="467" t="s">
        <v>1152</v>
      </c>
      <c r="C84" s="449">
        <f>'II6'!E13</f>
        <v>0</v>
      </c>
      <c r="D84" s="489" t="s">
        <v>1153</v>
      </c>
      <c r="E84" s="440"/>
    </row>
    <row r="85" spans="1:5" s="500" customFormat="1" ht="15.75" x14ac:dyDescent="0.25">
      <c r="A85" s="469">
        <v>6.3</v>
      </c>
      <c r="B85" s="467" t="s">
        <v>742</v>
      </c>
      <c r="C85" s="449">
        <f>'II6'!E14</f>
        <v>65</v>
      </c>
      <c r="D85" s="489">
        <v>5</v>
      </c>
      <c r="E85" s="440" t="s">
        <v>743</v>
      </c>
    </row>
    <row r="86" spans="1:5" ht="15.75" x14ac:dyDescent="0.25">
      <c r="A86" s="262">
        <v>7</v>
      </c>
      <c r="B86" s="263" t="s">
        <v>807</v>
      </c>
      <c r="C86" s="449">
        <f>'II7'!F11</f>
        <v>0</v>
      </c>
      <c r="D86" s="487" t="s">
        <v>605</v>
      </c>
      <c r="E86" s="254" t="s">
        <v>744</v>
      </c>
    </row>
    <row r="87" spans="1:5" s="500" customFormat="1" ht="15.75" x14ac:dyDescent="0.25">
      <c r="A87" s="469"/>
      <c r="B87" s="467" t="s">
        <v>1179</v>
      </c>
      <c r="C87" s="449">
        <f>'II7'!H11</f>
        <v>0</v>
      </c>
      <c r="D87" s="489">
        <v>20</v>
      </c>
      <c r="E87" s="514" t="s">
        <v>1154</v>
      </c>
    </row>
    <row r="88" spans="1:5" s="500" customFormat="1" ht="15.75" x14ac:dyDescent="0.25">
      <c r="A88" s="469"/>
      <c r="B88" s="467" t="s">
        <v>1180</v>
      </c>
      <c r="C88" s="449">
        <f>'II7'!I11</f>
        <v>0</v>
      </c>
      <c r="D88" s="489">
        <v>5</v>
      </c>
      <c r="E88" s="514"/>
    </row>
    <row r="89" spans="1:5" s="500" customFormat="1" ht="15.75" x14ac:dyDescent="0.25">
      <c r="A89" s="469"/>
      <c r="B89" s="467" t="s">
        <v>1181</v>
      </c>
      <c r="C89" s="449">
        <f>'II7'!J11</f>
        <v>0</v>
      </c>
      <c r="D89" s="489">
        <v>2</v>
      </c>
      <c r="E89" s="513"/>
    </row>
    <row r="90" spans="1:5" ht="15.75" x14ac:dyDescent="0.25">
      <c r="A90" s="262">
        <v>8</v>
      </c>
      <c r="B90" s="253" t="s">
        <v>745</v>
      </c>
      <c r="C90" s="449">
        <f>'II8'!E9</f>
        <v>0</v>
      </c>
      <c r="D90" s="486" t="s">
        <v>605</v>
      </c>
      <c r="E90" s="254" t="s">
        <v>605</v>
      </c>
    </row>
    <row r="91" spans="1:5" s="500" customFormat="1" ht="45" x14ac:dyDescent="0.25">
      <c r="A91" s="469"/>
      <c r="B91" s="440" t="s">
        <v>1165</v>
      </c>
      <c r="C91" s="449">
        <f>'II8'!H9</f>
        <v>0</v>
      </c>
      <c r="D91" s="485" t="s">
        <v>1092</v>
      </c>
      <c r="E91" s="467" t="s">
        <v>1155</v>
      </c>
    </row>
    <row r="92" spans="1:5" s="500" customFormat="1" ht="45" x14ac:dyDescent="0.25">
      <c r="A92" s="469"/>
      <c r="B92" s="440" t="s">
        <v>1166</v>
      </c>
      <c r="C92" s="449">
        <f>'II8'!I9</f>
        <v>0</v>
      </c>
      <c r="D92" s="485" t="s">
        <v>1183</v>
      </c>
      <c r="E92" s="467" t="s">
        <v>1156</v>
      </c>
    </row>
    <row r="93" spans="1:5" ht="15.75" x14ac:dyDescent="0.25">
      <c r="A93" s="262">
        <v>9</v>
      </c>
      <c r="B93" s="253" t="s">
        <v>988</v>
      </c>
      <c r="C93" s="449">
        <f>'II9'!F9</f>
        <v>89</v>
      </c>
      <c r="D93" s="486" t="s">
        <v>605</v>
      </c>
      <c r="E93" s="256" t="s">
        <v>734</v>
      </c>
    </row>
    <row r="94" spans="1:5" s="500" customFormat="1" ht="15.75" x14ac:dyDescent="0.25">
      <c r="A94" s="469"/>
      <c r="B94" s="440" t="s">
        <v>1157</v>
      </c>
      <c r="C94" s="449"/>
      <c r="D94" s="485"/>
      <c r="E94" s="467"/>
    </row>
    <row r="95" spans="1:5" s="500" customFormat="1" ht="15.75" x14ac:dyDescent="0.25">
      <c r="A95" s="469"/>
      <c r="B95" s="440" t="s">
        <v>1173</v>
      </c>
      <c r="C95" s="449">
        <f>'II9'!I9</f>
        <v>60</v>
      </c>
      <c r="D95" s="485">
        <v>10</v>
      </c>
      <c r="E95" s="512" t="s">
        <v>734</v>
      </c>
    </row>
    <row r="96" spans="1:5" s="500" customFormat="1" ht="15.75" x14ac:dyDescent="0.25">
      <c r="A96" s="469"/>
      <c r="B96" s="440" t="s">
        <v>1174</v>
      </c>
      <c r="C96" s="449">
        <f>'II9'!J9</f>
        <v>0</v>
      </c>
      <c r="D96" s="485">
        <v>6</v>
      </c>
      <c r="E96" s="514"/>
    </row>
    <row r="97" spans="1:5" s="500" customFormat="1" ht="15.75" x14ac:dyDescent="0.25">
      <c r="A97" s="469"/>
      <c r="B97" s="440" t="s">
        <v>1175</v>
      </c>
      <c r="C97" s="449">
        <f>'II9'!K9</f>
        <v>0</v>
      </c>
      <c r="D97" s="485">
        <v>4</v>
      </c>
      <c r="E97" s="513"/>
    </row>
    <row r="98" spans="1:5" s="500" customFormat="1" ht="15.75" x14ac:dyDescent="0.25">
      <c r="A98" s="469"/>
      <c r="B98" s="440" t="s">
        <v>1158</v>
      </c>
      <c r="C98" s="449"/>
      <c r="D98" s="485"/>
      <c r="E98" s="467"/>
    </row>
    <row r="99" spans="1:5" s="500" customFormat="1" ht="15.75" x14ac:dyDescent="0.25">
      <c r="A99" s="469"/>
      <c r="B99" s="440" t="s">
        <v>1176</v>
      </c>
      <c r="C99" s="449">
        <f>'II9'!L9</f>
        <v>10</v>
      </c>
      <c r="D99" s="485">
        <v>5</v>
      </c>
      <c r="E99" s="512" t="s">
        <v>734</v>
      </c>
    </row>
    <row r="100" spans="1:5" s="500" customFormat="1" ht="15.75" x14ac:dyDescent="0.25">
      <c r="A100" s="469"/>
      <c r="B100" s="440" t="s">
        <v>1177</v>
      </c>
      <c r="C100" s="449">
        <f>'II9'!M9</f>
        <v>15</v>
      </c>
      <c r="D100" s="485">
        <v>3</v>
      </c>
      <c r="E100" s="514"/>
    </row>
    <row r="101" spans="1:5" s="500" customFormat="1" ht="15.75" x14ac:dyDescent="0.25">
      <c r="A101" s="469"/>
      <c r="B101" s="440" t="s">
        <v>1178</v>
      </c>
      <c r="C101" s="449">
        <f>'II9'!N9</f>
        <v>4</v>
      </c>
      <c r="D101" s="485">
        <v>2</v>
      </c>
      <c r="E101" s="513"/>
    </row>
    <row r="102" spans="1:5" ht="15.75" x14ac:dyDescent="0.25">
      <c r="A102" s="262">
        <v>10</v>
      </c>
      <c r="B102" s="253" t="s">
        <v>796</v>
      </c>
      <c r="C102" s="449">
        <f>'II10'!E9</f>
        <v>50</v>
      </c>
      <c r="D102" s="486" t="s">
        <v>605</v>
      </c>
      <c r="E102" s="254" t="s">
        <v>605</v>
      </c>
    </row>
    <row r="103" spans="1:5" s="500" customFormat="1" ht="90" x14ac:dyDescent="0.25">
      <c r="A103" s="469"/>
      <c r="B103" s="467" t="s">
        <v>1167</v>
      </c>
      <c r="C103" s="449">
        <f>'II10'!H9</f>
        <v>0</v>
      </c>
      <c r="D103" s="489" t="s">
        <v>1186</v>
      </c>
      <c r="E103" s="467" t="s">
        <v>1156</v>
      </c>
    </row>
    <row r="104" spans="1:5" s="500" customFormat="1" ht="120" x14ac:dyDescent="0.25">
      <c r="A104" s="469"/>
      <c r="B104" s="467" t="s">
        <v>1168</v>
      </c>
      <c r="C104" s="449">
        <f>'II10'!I9</f>
        <v>50</v>
      </c>
      <c r="D104" s="489" t="s">
        <v>1185</v>
      </c>
      <c r="E104" s="467" t="s">
        <v>1156</v>
      </c>
    </row>
    <row r="105" spans="1:5" s="500" customFormat="1" ht="96" customHeight="1" x14ac:dyDescent="0.25">
      <c r="A105" s="469"/>
      <c r="B105" s="467" t="s">
        <v>1169</v>
      </c>
      <c r="C105" s="449">
        <f>'II10'!J9</f>
        <v>0</v>
      </c>
      <c r="D105" s="489" t="s">
        <v>1184</v>
      </c>
      <c r="E105" s="467" t="s">
        <v>1159</v>
      </c>
    </row>
    <row r="106" spans="1:5" ht="45" x14ac:dyDescent="0.25">
      <c r="A106" s="262">
        <v>11</v>
      </c>
      <c r="B106" s="263" t="s">
        <v>1172</v>
      </c>
      <c r="C106" s="449">
        <f>'II11'!E9</f>
        <v>0</v>
      </c>
      <c r="D106" s="489" t="s">
        <v>1190</v>
      </c>
      <c r="E106" s="256" t="s">
        <v>746</v>
      </c>
    </row>
    <row r="107" spans="1:5" ht="15.75" x14ac:dyDescent="0.25">
      <c r="A107" s="262">
        <v>12</v>
      </c>
      <c r="B107" s="253" t="s">
        <v>747</v>
      </c>
      <c r="C107" s="449">
        <f>'II12'!E9</f>
        <v>0</v>
      </c>
      <c r="D107" s="486" t="s">
        <v>605</v>
      </c>
      <c r="E107" s="254" t="s">
        <v>605</v>
      </c>
    </row>
    <row r="108" spans="1:5" s="500" customFormat="1" ht="15.75" x14ac:dyDescent="0.25">
      <c r="A108" s="469"/>
      <c r="B108" s="440" t="s">
        <v>1170</v>
      </c>
      <c r="C108" s="449">
        <f>'II12'!I9</f>
        <v>0</v>
      </c>
      <c r="D108" s="485">
        <v>10</v>
      </c>
      <c r="E108" s="512" t="s">
        <v>743</v>
      </c>
    </row>
    <row r="109" spans="1:5" s="500" customFormat="1" ht="15.75" x14ac:dyDescent="0.25">
      <c r="A109" s="469"/>
      <c r="B109" s="440" t="s">
        <v>1171</v>
      </c>
      <c r="C109" s="449">
        <f>'II12'!H9</f>
        <v>0</v>
      </c>
      <c r="D109" s="485">
        <v>5</v>
      </c>
      <c r="E109" s="513"/>
    </row>
    <row r="110" spans="1:5" ht="15.75" x14ac:dyDescent="0.25">
      <c r="A110" s="252">
        <v>13</v>
      </c>
      <c r="B110" s="253" t="s">
        <v>748</v>
      </c>
      <c r="C110" s="449">
        <f>'II13'!D9</f>
        <v>0</v>
      </c>
      <c r="D110" s="486">
        <v>10</v>
      </c>
      <c r="E110" s="254" t="s">
        <v>743</v>
      </c>
    </row>
    <row r="111" spans="1:5" x14ac:dyDescent="0.25">
      <c r="A111" s="265" t="s">
        <v>605</v>
      </c>
      <c r="B111" s="266" t="s">
        <v>749</v>
      </c>
      <c r="C111" s="460" t="s">
        <v>705</v>
      </c>
      <c r="D111" s="490" t="s">
        <v>605</v>
      </c>
      <c r="E111" s="267" t="s">
        <v>605</v>
      </c>
    </row>
    <row r="112" spans="1:5" x14ac:dyDescent="0.25">
      <c r="A112" s="268"/>
      <c r="B112" s="269" t="s">
        <v>605</v>
      </c>
      <c r="C112" s="461" t="s">
        <v>706</v>
      </c>
      <c r="D112" s="491"/>
      <c r="E112" s="270"/>
    </row>
    <row r="113" spans="1:5" x14ac:dyDescent="0.25">
      <c r="A113" s="268"/>
      <c r="B113" s="269" t="s">
        <v>707</v>
      </c>
      <c r="C113" s="461" t="s">
        <v>708</v>
      </c>
      <c r="D113" s="491"/>
      <c r="E113" s="270"/>
    </row>
    <row r="114" spans="1:5" x14ac:dyDescent="0.25">
      <c r="A114" s="271"/>
      <c r="B114" s="272"/>
      <c r="C114" s="462" t="s">
        <v>709</v>
      </c>
      <c r="D114" s="492"/>
      <c r="E114" s="272"/>
    </row>
    <row r="115" spans="1:5" ht="15.75" x14ac:dyDescent="0.25">
      <c r="A115" s="227" t="s">
        <v>605</v>
      </c>
      <c r="B115" s="228" t="s">
        <v>710</v>
      </c>
      <c r="C115" s="450">
        <f>SUM(C38,C45,C54,C58,C62,C81,C86,C90,C93,C102,C106,C107,C110,)</f>
        <v>5850.4334143565866</v>
      </c>
      <c r="D115" s="480" t="s">
        <v>605</v>
      </c>
      <c r="E115" s="251"/>
    </row>
    <row r="117" spans="1:5" ht="16.5" x14ac:dyDescent="0.25">
      <c r="A117" s="273" t="s">
        <v>605</v>
      </c>
      <c r="B117" s="274" t="s">
        <v>750</v>
      </c>
      <c r="C117" s="451"/>
      <c r="D117" s="493" t="s">
        <v>605</v>
      </c>
      <c r="E117" s="275" t="s">
        <v>605</v>
      </c>
    </row>
    <row r="118" spans="1:5" ht="30" customHeight="1" x14ac:dyDescent="0.25">
      <c r="A118" s="252">
        <v>1</v>
      </c>
      <c r="B118" s="276" t="s">
        <v>797</v>
      </c>
      <c r="C118" s="446">
        <f>III.1!F11</f>
        <v>18</v>
      </c>
      <c r="D118" s="494"/>
      <c r="E118" s="440"/>
    </row>
    <row r="119" spans="1:5" s="500" customFormat="1" ht="30" customHeight="1" x14ac:dyDescent="0.25">
      <c r="A119" s="469">
        <v>1.1000000000000001</v>
      </c>
      <c r="B119" s="489" t="s">
        <v>1192</v>
      </c>
      <c r="C119" s="446">
        <f>III.1!J11</f>
        <v>0</v>
      </c>
      <c r="D119" s="489">
        <v>5</v>
      </c>
      <c r="E119" s="512" t="s">
        <v>1191</v>
      </c>
    </row>
    <row r="120" spans="1:5" s="500" customFormat="1" ht="60" x14ac:dyDescent="0.25">
      <c r="A120" s="469">
        <v>1.2</v>
      </c>
      <c r="B120" s="489" t="s">
        <v>1193</v>
      </c>
      <c r="C120" s="446">
        <f>III.1!K11</f>
        <v>0</v>
      </c>
      <c r="D120" s="489">
        <v>10</v>
      </c>
      <c r="E120" s="514"/>
    </row>
    <row r="121" spans="1:5" s="500" customFormat="1" ht="60" x14ac:dyDescent="0.25">
      <c r="A121" s="469">
        <v>1.3</v>
      </c>
      <c r="B121" s="489" t="s">
        <v>1194</v>
      </c>
      <c r="C121" s="446">
        <f>III.1!L11</f>
        <v>18</v>
      </c>
      <c r="D121" s="489">
        <v>2</v>
      </c>
      <c r="E121" s="513"/>
    </row>
    <row r="122" spans="1:5" ht="60" x14ac:dyDescent="0.25">
      <c r="A122" s="262">
        <v>2</v>
      </c>
      <c r="B122" s="263" t="s">
        <v>1224</v>
      </c>
      <c r="C122" s="446">
        <f>III.2!F11</f>
        <v>0</v>
      </c>
      <c r="D122" s="489" t="s">
        <v>1225</v>
      </c>
      <c r="E122" s="467" t="s">
        <v>1195</v>
      </c>
    </row>
    <row r="123" spans="1:5" ht="15.75" x14ac:dyDescent="0.25">
      <c r="A123" s="252">
        <v>3</v>
      </c>
      <c r="B123" s="253" t="s">
        <v>798</v>
      </c>
      <c r="C123" s="446">
        <f>III.3!D11</f>
        <v>0</v>
      </c>
      <c r="D123" s="486">
        <v>50</v>
      </c>
      <c r="E123" s="254" t="s">
        <v>701</v>
      </c>
    </row>
    <row r="124" spans="1:5" ht="45" x14ac:dyDescent="0.25">
      <c r="A124" s="262">
        <v>4</v>
      </c>
      <c r="B124" s="263" t="s">
        <v>1223</v>
      </c>
      <c r="C124" s="446">
        <f>III.4!E11</f>
        <v>0</v>
      </c>
      <c r="D124" s="489" t="s">
        <v>1221</v>
      </c>
      <c r="E124" s="256" t="s">
        <v>701</v>
      </c>
    </row>
    <row r="125" spans="1:5" ht="60" x14ac:dyDescent="0.25">
      <c r="A125" s="262">
        <v>5</v>
      </c>
      <c r="B125" s="263" t="s">
        <v>1222</v>
      </c>
      <c r="C125" s="446">
        <f>III.5!E11</f>
        <v>20</v>
      </c>
      <c r="D125" s="489" t="s">
        <v>1220</v>
      </c>
      <c r="E125" s="256" t="s">
        <v>743</v>
      </c>
    </row>
    <row r="126" spans="1:5" ht="15.75" x14ac:dyDescent="0.25">
      <c r="A126" s="262">
        <v>6</v>
      </c>
      <c r="B126" s="253" t="s">
        <v>752</v>
      </c>
      <c r="C126" s="446">
        <f>III.6!F11</f>
        <v>0</v>
      </c>
      <c r="D126" s="486" t="s">
        <v>605</v>
      </c>
      <c r="E126" s="254" t="s">
        <v>605</v>
      </c>
    </row>
    <row r="127" spans="1:5" s="500" customFormat="1" ht="15.75" x14ac:dyDescent="0.25">
      <c r="A127" s="469"/>
      <c r="B127" s="440" t="s">
        <v>1209</v>
      </c>
      <c r="C127" s="446">
        <f>III.6!J11</f>
        <v>0</v>
      </c>
      <c r="D127" s="485">
        <v>120</v>
      </c>
      <c r="E127" s="512" t="s">
        <v>1196</v>
      </c>
    </row>
    <row r="128" spans="1:5" s="500" customFormat="1" ht="15.75" x14ac:dyDescent="0.25">
      <c r="A128" s="469"/>
      <c r="B128" s="440" t="s">
        <v>1210</v>
      </c>
      <c r="C128" s="446">
        <f>III.6!K11</f>
        <v>0</v>
      </c>
      <c r="D128" s="485">
        <v>60</v>
      </c>
      <c r="E128" s="514"/>
    </row>
    <row r="129" spans="1:5" s="500" customFormat="1" ht="15.75" x14ac:dyDescent="0.25">
      <c r="A129" s="469"/>
      <c r="B129" s="440" t="s">
        <v>1211</v>
      </c>
      <c r="C129" s="446">
        <f>III.6!L11</f>
        <v>0</v>
      </c>
      <c r="D129" s="485">
        <v>40</v>
      </c>
      <c r="E129" s="514"/>
    </row>
    <row r="130" spans="1:5" s="500" customFormat="1" ht="15.75" x14ac:dyDescent="0.25">
      <c r="A130" s="469"/>
      <c r="B130" s="440" t="s">
        <v>1212</v>
      </c>
      <c r="C130" s="446">
        <f>III.6!M11</f>
        <v>0</v>
      </c>
      <c r="D130" s="485">
        <v>20</v>
      </c>
      <c r="E130" s="513"/>
    </row>
    <row r="131" spans="1:5" ht="15.75" x14ac:dyDescent="0.25">
      <c r="A131" s="262">
        <v>7</v>
      </c>
      <c r="B131" s="253" t="s">
        <v>753</v>
      </c>
      <c r="C131" s="446">
        <f>III.7!E11</f>
        <v>0</v>
      </c>
      <c r="D131" s="486" t="s">
        <v>605</v>
      </c>
      <c r="E131" s="254" t="s">
        <v>605</v>
      </c>
    </row>
    <row r="132" spans="1:5" s="500" customFormat="1" ht="15.75" x14ac:dyDescent="0.25">
      <c r="A132" s="469"/>
      <c r="B132" s="440" t="s">
        <v>1209</v>
      </c>
      <c r="C132" s="446">
        <f>III.7!F11</f>
        <v>0</v>
      </c>
      <c r="D132" s="485">
        <v>200</v>
      </c>
      <c r="E132" s="440" t="s">
        <v>751</v>
      </c>
    </row>
    <row r="133" spans="1:5" s="500" customFormat="1" ht="15.75" x14ac:dyDescent="0.25">
      <c r="A133" s="469"/>
      <c r="B133" s="440" t="s">
        <v>1213</v>
      </c>
      <c r="C133" s="446">
        <f>III.7!G11</f>
        <v>0</v>
      </c>
      <c r="D133" s="485">
        <v>50</v>
      </c>
      <c r="E133" s="440" t="s">
        <v>1197</v>
      </c>
    </row>
    <row r="134" spans="1:5" ht="15.75" x14ac:dyDescent="0.25">
      <c r="A134" s="262">
        <v>8</v>
      </c>
      <c r="B134" s="253" t="s">
        <v>835</v>
      </c>
      <c r="C134" s="446">
        <f>III.8!F11</f>
        <v>4</v>
      </c>
      <c r="D134" s="486" t="s">
        <v>605</v>
      </c>
      <c r="E134" s="254" t="s">
        <v>605</v>
      </c>
    </row>
    <row r="135" spans="1:5" s="500" customFormat="1" ht="15.75" x14ac:dyDescent="0.25">
      <c r="A135" s="469"/>
      <c r="B135" s="440" t="s">
        <v>754</v>
      </c>
      <c r="C135" s="446"/>
      <c r="D135" s="485"/>
      <c r="E135" s="440"/>
    </row>
    <row r="136" spans="1:5" s="500" customFormat="1" ht="15.75" x14ac:dyDescent="0.25">
      <c r="A136" s="469"/>
      <c r="B136" s="440" t="s">
        <v>1214</v>
      </c>
      <c r="C136" s="446">
        <f>III.8!J11</f>
        <v>0</v>
      </c>
      <c r="D136" s="485">
        <v>50</v>
      </c>
      <c r="E136" s="512" t="s">
        <v>1199</v>
      </c>
    </row>
    <row r="137" spans="1:5" s="500" customFormat="1" ht="15.75" x14ac:dyDescent="0.25">
      <c r="A137" s="469"/>
      <c r="B137" s="440" t="s">
        <v>1215</v>
      </c>
      <c r="C137" s="446">
        <f>III.8!M11</f>
        <v>0</v>
      </c>
      <c r="D137" s="485">
        <v>20</v>
      </c>
      <c r="E137" s="513"/>
    </row>
    <row r="138" spans="1:5" s="500" customFormat="1" ht="15.75" x14ac:dyDescent="0.25">
      <c r="A138" s="469"/>
      <c r="B138" s="440" t="s">
        <v>755</v>
      </c>
      <c r="C138" s="446"/>
      <c r="D138" s="485"/>
      <c r="E138" s="485"/>
    </row>
    <row r="139" spans="1:5" s="500" customFormat="1" ht="15.75" x14ac:dyDescent="0.25">
      <c r="A139" s="469"/>
      <c r="B139" s="440" t="s">
        <v>1214</v>
      </c>
      <c r="C139" s="446">
        <f>III.8!K11</f>
        <v>0</v>
      </c>
      <c r="D139" s="485">
        <v>5</v>
      </c>
      <c r="E139" s="512" t="s">
        <v>1199</v>
      </c>
    </row>
    <row r="140" spans="1:5" s="500" customFormat="1" ht="15.75" x14ac:dyDescent="0.25">
      <c r="A140" s="469"/>
      <c r="B140" s="440" t="s">
        <v>1215</v>
      </c>
      <c r="C140" s="446">
        <f>III.8!N11</f>
        <v>4</v>
      </c>
      <c r="D140" s="485">
        <v>2</v>
      </c>
      <c r="E140" s="513"/>
    </row>
    <row r="141" spans="1:5" s="500" customFormat="1" ht="15.75" x14ac:dyDescent="0.25">
      <c r="A141" s="469"/>
      <c r="B141" s="440" t="s">
        <v>1198</v>
      </c>
      <c r="C141" s="446">
        <f>III.8!L11+III.8!O11</f>
        <v>0</v>
      </c>
      <c r="D141" s="485">
        <v>3</v>
      </c>
      <c r="E141" s="440" t="s">
        <v>1200</v>
      </c>
    </row>
    <row r="142" spans="1:5" ht="15.75" x14ac:dyDescent="0.25">
      <c r="A142" s="262">
        <v>9</v>
      </c>
      <c r="B142" s="253" t="s">
        <v>1082</v>
      </c>
      <c r="C142" s="446">
        <f>III.9!E11</f>
        <v>0</v>
      </c>
      <c r="D142" s="486" t="s">
        <v>605</v>
      </c>
      <c r="E142" s="254" t="s">
        <v>605</v>
      </c>
    </row>
    <row r="143" spans="1:5" s="500" customFormat="1" ht="15.75" x14ac:dyDescent="0.25">
      <c r="A143" s="469"/>
      <c r="B143" s="440" t="s">
        <v>1216</v>
      </c>
      <c r="C143" s="446">
        <f>III.9!I11</f>
        <v>0</v>
      </c>
      <c r="D143" s="485">
        <v>15</v>
      </c>
      <c r="E143" s="512" t="s">
        <v>1201</v>
      </c>
    </row>
    <row r="144" spans="1:5" s="500" customFormat="1" ht="15.75" x14ac:dyDescent="0.25">
      <c r="A144" s="469"/>
      <c r="B144" s="440" t="s">
        <v>1217</v>
      </c>
      <c r="C144" s="446">
        <f>III.9!J11</f>
        <v>0</v>
      </c>
      <c r="D144" s="485">
        <v>10</v>
      </c>
      <c r="E144" s="513"/>
    </row>
    <row r="145" spans="1:5" ht="15.75" x14ac:dyDescent="0.25">
      <c r="A145" s="252">
        <v>10</v>
      </c>
      <c r="B145" s="253" t="s">
        <v>757</v>
      </c>
      <c r="C145" s="446">
        <f>III.10!D11</f>
        <v>0</v>
      </c>
      <c r="D145" s="486">
        <v>100</v>
      </c>
      <c r="E145" s="254" t="s">
        <v>758</v>
      </c>
    </row>
    <row r="146" spans="1:5" ht="15.75" x14ac:dyDescent="0.25">
      <c r="A146" s="252">
        <v>11</v>
      </c>
      <c r="B146" s="253" t="s">
        <v>799</v>
      </c>
      <c r="C146" s="446">
        <f>III.11!D11</f>
        <v>0</v>
      </c>
      <c r="D146" s="486">
        <v>40</v>
      </c>
      <c r="E146" s="254" t="s">
        <v>758</v>
      </c>
    </row>
    <row r="147" spans="1:5" ht="90" x14ac:dyDescent="0.25">
      <c r="A147" s="262">
        <v>12</v>
      </c>
      <c r="B147" s="263" t="s">
        <v>1207</v>
      </c>
      <c r="C147" s="446">
        <f>III.12!D11</f>
        <v>120</v>
      </c>
      <c r="D147" s="489" t="s">
        <v>1219</v>
      </c>
      <c r="E147" s="256" t="s">
        <v>751</v>
      </c>
    </row>
    <row r="148" spans="1:5" ht="60" x14ac:dyDescent="0.25">
      <c r="A148" s="262">
        <v>13</v>
      </c>
      <c r="B148" s="263" t="s">
        <v>1208</v>
      </c>
      <c r="C148" s="446">
        <f>III.13!E11</f>
        <v>0</v>
      </c>
      <c r="D148" s="489" t="s">
        <v>1218</v>
      </c>
      <c r="E148" s="256" t="s">
        <v>751</v>
      </c>
    </row>
    <row r="149" spans="1:5" ht="30" x14ac:dyDescent="0.25">
      <c r="A149" s="252">
        <v>14</v>
      </c>
      <c r="B149" s="253" t="s">
        <v>759</v>
      </c>
      <c r="C149" s="446">
        <f>III.14!D11</f>
        <v>150</v>
      </c>
      <c r="D149" s="486">
        <v>50</v>
      </c>
      <c r="E149" s="254" t="s">
        <v>760</v>
      </c>
    </row>
    <row r="150" spans="1:5" ht="30" x14ac:dyDescent="0.25">
      <c r="A150" s="252">
        <v>15</v>
      </c>
      <c r="B150" s="253" t="s">
        <v>769</v>
      </c>
      <c r="C150" s="446">
        <f>III.15!E11</f>
        <v>0</v>
      </c>
      <c r="D150" s="486" t="s">
        <v>770</v>
      </c>
      <c r="E150" s="254" t="s">
        <v>771</v>
      </c>
    </row>
    <row r="151" spans="1:5" ht="30" x14ac:dyDescent="0.25">
      <c r="A151" s="252">
        <v>16</v>
      </c>
      <c r="B151" s="253" t="s">
        <v>800</v>
      </c>
      <c r="C151" s="446">
        <f>III.16!D11</f>
        <v>0</v>
      </c>
      <c r="D151" s="486">
        <v>10</v>
      </c>
      <c r="E151" s="254" t="s">
        <v>760</v>
      </c>
    </row>
    <row r="152" spans="1:5" x14ac:dyDescent="0.25">
      <c r="A152" s="265" t="s">
        <v>605</v>
      </c>
      <c r="B152" s="266" t="s">
        <v>761</v>
      </c>
      <c r="C152" s="458" t="s">
        <v>1066</v>
      </c>
      <c r="D152" s="490" t="s">
        <v>605</v>
      </c>
      <c r="E152" s="267" t="s">
        <v>605</v>
      </c>
    </row>
    <row r="153" spans="1:5" x14ac:dyDescent="0.25">
      <c r="A153" s="268"/>
      <c r="B153" s="269" t="s">
        <v>605</v>
      </c>
      <c r="C153" s="458" t="s">
        <v>1067</v>
      </c>
      <c r="D153" s="491"/>
      <c r="E153" s="270"/>
    </row>
    <row r="154" spans="1:5" x14ac:dyDescent="0.25">
      <c r="A154" s="268"/>
      <c r="B154" s="415" t="s">
        <v>1070</v>
      </c>
      <c r="C154" s="458" t="s">
        <v>1068</v>
      </c>
      <c r="D154" s="491"/>
      <c r="E154" s="270"/>
    </row>
    <row r="155" spans="1:5" x14ac:dyDescent="0.25">
      <c r="A155" s="271"/>
      <c r="B155" s="272"/>
      <c r="C155" s="458" t="s">
        <v>1069</v>
      </c>
      <c r="D155" s="492"/>
      <c r="E155" s="272"/>
    </row>
    <row r="156" spans="1:5" ht="16.5" x14ac:dyDescent="0.25">
      <c r="A156" s="273" t="s">
        <v>605</v>
      </c>
      <c r="B156" s="274" t="s">
        <v>750</v>
      </c>
      <c r="C156" s="452">
        <f>SUM(C151,C150,C149,C148,C147,C146,C145,C142,C134,C131,C126,C125,C124,C122,C123,C118)</f>
        <v>312</v>
      </c>
      <c r="D156" s="493" t="s">
        <v>605</v>
      </c>
      <c r="E156" s="275" t="s">
        <v>605</v>
      </c>
    </row>
    <row r="157" spans="1:5" x14ac:dyDescent="0.25">
      <c r="A157" s="277" t="s">
        <v>605</v>
      </c>
      <c r="B157" s="278" t="s">
        <v>605</v>
      </c>
      <c r="C157" s="453" t="s">
        <v>605</v>
      </c>
      <c r="D157" s="495" t="s">
        <v>605</v>
      </c>
      <c r="E157" s="279" t="s">
        <v>605</v>
      </c>
    </row>
    <row r="158" spans="1:5" x14ac:dyDescent="0.25">
      <c r="A158" s="280" t="s">
        <v>605</v>
      </c>
      <c r="B158" s="281" t="s">
        <v>762</v>
      </c>
      <c r="C158" s="463" t="s">
        <v>763</v>
      </c>
      <c r="D158" s="496" t="s">
        <v>605</v>
      </c>
      <c r="E158" s="282" t="s">
        <v>764</v>
      </c>
    </row>
    <row r="159" spans="1:5" x14ac:dyDescent="0.25">
      <c r="A159" s="283"/>
      <c r="B159" s="284"/>
      <c r="C159" s="464" t="s">
        <v>765</v>
      </c>
      <c r="D159" s="497"/>
      <c r="E159" s="284"/>
    </row>
    <row r="160" spans="1:5" x14ac:dyDescent="0.25">
      <c r="A160" s="283"/>
      <c r="B160" s="284"/>
      <c r="C160" s="464" t="s">
        <v>766</v>
      </c>
      <c r="D160" s="497"/>
      <c r="E160" s="284"/>
    </row>
    <row r="161" spans="1:5" x14ac:dyDescent="0.25">
      <c r="A161" s="285"/>
      <c r="B161" s="286"/>
      <c r="C161" s="465" t="s">
        <v>767</v>
      </c>
      <c r="D161" s="498"/>
      <c r="E161" s="286"/>
    </row>
    <row r="162" spans="1:5" ht="16.5" x14ac:dyDescent="0.25">
      <c r="A162" s="273" t="s">
        <v>605</v>
      </c>
      <c r="B162" s="274" t="s">
        <v>1012</v>
      </c>
      <c r="C162" s="452">
        <f>C156+C115+C35</f>
        <v>6706.4334143565866</v>
      </c>
      <c r="D162" s="493" t="s">
        <v>605</v>
      </c>
      <c r="E162" s="275" t="s">
        <v>605</v>
      </c>
    </row>
    <row r="164" spans="1:5" x14ac:dyDescent="0.25">
      <c r="C164" s="454" t="str">
        <f>"Decan Facultate " &amp; facultate&amp; ", " &amp; decan_facultate</f>
        <v xml:space="preserve">Decan Facultate Mecanică,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N16" sqref="N16"/>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3"/>
      <c r="D1" s="61"/>
      <c r="E1" s="61"/>
    </row>
    <row r="2" spans="1:5" s="60" customFormat="1" x14ac:dyDescent="0.2">
      <c r="A2" s="592" t="s">
        <v>450</v>
      </c>
      <c r="B2" s="592"/>
      <c r="D2" s="61"/>
      <c r="E2" s="61"/>
    </row>
    <row r="3" spans="1:5" x14ac:dyDescent="0.25">
      <c r="A3" s="593" t="s">
        <v>903</v>
      </c>
      <c r="B3" s="593"/>
      <c r="C3" s="593"/>
      <c r="D3" s="593"/>
      <c r="E3" s="593"/>
    </row>
    <row r="4" spans="1:5" ht="36" customHeight="1" x14ac:dyDescent="0.25">
      <c r="A4" s="541" t="s">
        <v>938</v>
      </c>
      <c r="B4" s="541"/>
      <c r="C4" s="541"/>
      <c r="D4" s="541"/>
      <c r="E4" s="541"/>
    </row>
    <row r="6" spans="1:5" s="60" customFormat="1" ht="13.5" customHeight="1" x14ac:dyDescent="0.25">
      <c r="A6" s="64"/>
      <c r="B6" s="316"/>
      <c r="C6" s="82"/>
      <c r="D6" s="64"/>
      <c r="E6" s="347" t="str">
        <f>CONCATENATE(functie," ",nume_candidat)</f>
        <v>Conferențiar Codrean Cosmin</v>
      </c>
    </row>
    <row r="7" spans="1:5" ht="15" customHeight="1" x14ac:dyDescent="0.25">
      <c r="A7" s="532" t="s">
        <v>338</v>
      </c>
      <c r="B7" s="532" t="s">
        <v>1030</v>
      </c>
      <c r="C7" s="532" t="s">
        <v>2</v>
      </c>
      <c r="D7" s="532" t="s">
        <v>460</v>
      </c>
      <c r="E7" s="533" t="s">
        <v>544</v>
      </c>
    </row>
    <row r="8" spans="1:5" ht="54" customHeight="1" x14ac:dyDescent="0.25">
      <c r="A8" s="532"/>
      <c r="B8" s="532"/>
      <c r="C8" s="532"/>
      <c r="D8" s="532"/>
      <c r="E8" s="534"/>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J16" sqref="J16"/>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92" t="s">
        <v>450</v>
      </c>
      <c r="B2" s="592"/>
      <c r="D2" s="61"/>
      <c r="E2" s="61"/>
      <c r="F2" s="62"/>
    </row>
    <row r="3" spans="1:7" x14ac:dyDescent="0.25">
      <c r="A3" s="593" t="s">
        <v>903</v>
      </c>
      <c r="B3" s="593"/>
      <c r="C3" s="593"/>
      <c r="D3" s="593"/>
      <c r="E3" s="593"/>
      <c r="F3" s="64"/>
    </row>
    <row r="4" spans="1:7" x14ac:dyDescent="0.25">
      <c r="A4" s="541" t="s">
        <v>939</v>
      </c>
      <c r="B4" s="541"/>
      <c r="C4" s="541"/>
      <c r="D4" s="541"/>
      <c r="E4" s="541"/>
      <c r="F4" s="291"/>
    </row>
    <row r="6" spans="1:7" s="60" customFormat="1" ht="13.5" customHeight="1" x14ac:dyDescent="0.25">
      <c r="A6" s="64"/>
      <c r="B6" s="64"/>
      <c r="C6" s="82"/>
      <c r="D6" s="64"/>
      <c r="E6" s="347" t="str">
        <f>CONCATENATE(functie," ",nume_candidat)</f>
        <v>Conferențiar Codrean Cosmin</v>
      </c>
      <c r="F6" s="71"/>
    </row>
    <row r="7" spans="1:7" ht="15" customHeight="1" x14ac:dyDescent="0.25">
      <c r="A7" s="532" t="s">
        <v>338</v>
      </c>
      <c r="B7" s="532" t="s">
        <v>1030</v>
      </c>
      <c r="C7" s="532" t="s">
        <v>2</v>
      </c>
      <c r="D7" s="532" t="s">
        <v>460</v>
      </c>
      <c r="E7" s="533" t="s">
        <v>544</v>
      </c>
      <c r="F7" s="539" t="s">
        <v>541</v>
      </c>
    </row>
    <row r="8" spans="1:7" ht="54" customHeight="1" x14ac:dyDescent="0.25">
      <c r="A8" s="532"/>
      <c r="B8" s="532"/>
      <c r="C8" s="532"/>
      <c r="D8" s="532"/>
      <c r="E8" s="534"/>
      <c r="F8" s="539"/>
      <c r="G8" s="64" t="s">
        <v>461</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O11" sqref="O11"/>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92" t="s">
        <v>450</v>
      </c>
      <c r="B2" s="592"/>
      <c r="D2" s="61"/>
      <c r="E2" s="61"/>
      <c r="F2" s="62"/>
    </row>
    <row r="3" spans="1:7" x14ac:dyDescent="0.25">
      <c r="A3" s="593" t="s">
        <v>903</v>
      </c>
      <c r="B3" s="593"/>
      <c r="C3" s="593"/>
      <c r="D3" s="593"/>
      <c r="E3" s="593"/>
      <c r="F3" s="64"/>
    </row>
    <row r="4" spans="1:7" ht="105.75" customHeight="1" x14ac:dyDescent="0.25">
      <c r="A4" s="541" t="s">
        <v>940</v>
      </c>
      <c r="B4" s="541"/>
      <c r="C4" s="541"/>
      <c r="D4" s="541"/>
      <c r="E4" s="541"/>
      <c r="F4" s="291"/>
    </row>
    <row r="5" spans="1:7" s="60" customFormat="1" ht="13.5" customHeight="1" x14ac:dyDescent="0.25">
      <c r="A5" s="64"/>
      <c r="B5" s="64"/>
      <c r="C5" s="82"/>
      <c r="D5" s="64"/>
      <c r="E5" s="347" t="str">
        <f>CONCATENATE(functie," ",nume_candidat)</f>
        <v>Conferențiar Codrean Cosmin</v>
      </c>
      <c r="F5" s="71"/>
    </row>
    <row r="6" spans="1:7" ht="15" customHeight="1" x14ac:dyDescent="0.25">
      <c r="A6" s="532" t="s">
        <v>338</v>
      </c>
      <c r="B6" s="532" t="s">
        <v>1031</v>
      </c>
      <c r="C6" s="532" t="s">
        <v>2</v>
      </c>
      <c r="D6" s="532" t="s">
        <v>460</v>
      </c>
      <c r="E6" s="533" t="s">
        <v>544</v>
      </c>
      <c r="F6" s="539" t="s">
        <v>541</v>
      </c>
    </row>
    <row r="7" spans="1:7" ht="54" customHeight="1" x14ac:dyDescent="0.25">
      <c r="A7" s="532"/>
      <c r="B7" s="532"/>
      <c r="C7" s="532"/>
      <c r="D7" s="532"/>
      <c r="E7" s="534"/>
      <c r="F7" s="539"/>
      <c r="G7" s="64" t="s">
        <v>461</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J15" sqref="J15"/>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D1" s="61"/>
      <c r="E1" s="61"/>
      <c r="F1" s="62"/>
    </row>
    <row r="2" spans="1:7" s="60" customFormat="1" x14ac:dyDescent="0.2">
      <c r="A2" s="592" t="s">
        <v>450</v>
      </c>
      <c r="B2" s="592"/>
      <c r="D2" s="61"/>
      <c r="E2" s="61"/>
      <c r="F2" s="62"/>
    </row>
    <row r="3" spans="1:7" x14ac:dyDescent="0.25">
      <c r="A3" s="593" t="s">
        <v>903</v>
      </c>
      <c r="B3" s="593"/>
      <c r="C3" s="593"/>
      <c r="D3" s="593"/>
      <c r="E3" s="593"/>
      <c r="F3" s="64"/>
    </row>
    <row r="4" spans="1:7" ht="43.5" customHeight="1" x14ac:dyDescent="0.25">
      <c r="A4" s="541" t="s">
        <v>941</v>
      </c>
      <c r="B4" s="541"/>
      <c r="C4" s="541"/>
      <c r="D4" s="541"/>
      <c r="E4" s="541"/>
      <c r="F4" s="291"/>
    </row>
    <row r="6" spans="1:7" s="60" customFormat="1" ht="13.5" customHeight="1" x14ac:dyDescent="0.25">
      <c r="A6" s="64"/>
      <c r="B6" s="316"/>
      <c r="C6" s="82"/>
      <c r="D6" s="64"/>
      <c r="E6" s="347" t="str">
        <f>CONCATENATE(functie," ",nume_candidat)</f>
        <v>Conferențiar Codrean Cosmin</v>
      </c>
      <c r="F6" s="71"/>
    </row>
    <row r="7" spans="1:7" ht="15" customHeight="1" x14ac:dyDescent="0.25">
      <c r="A7" s="532" t="s">
        <v>338</v>
      </c>
      <c r="B7" s="532" t="s">
        <v>1031</v>
      </c>
      <c r="C7" s="532" t="s">
        <v>2</v>
      </c>
      <c r="D7" s="532" t="s">
        <v>460</v>
      </c>
      <c r="E7" s="533" t="s">
        <v>544</v>
      </c>
      <c r="F7" s="539" t="s">
        <v>541</v>
      </c>
    </row>
    <row r="8" spans="1:7" ht="54" customHeight="1" x14ac:dyDescent="0.25">
      <c r="A8" s="532"/>
      <c r="B8" s="532"/>
      <c r="C8" s="532"/>
      <c r="D8" s="532"/>
      <c r="E8" s="534"/>
      <c r="F8" s="539"/>
      <c r="G8" s="64" t="s">
        <v>461</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M16" sqref="M16"/>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C1" s="62"/>
      <c r="D1" s="61"/>
      <c r="E1" s="61"/>
      <c r="F1" s="62"/>
    </row>
    <row r="2" spans="1:7" s="60" customFormat="1" x14ac:dyDescent="0.2">
      <c r="A2" s="592" t="s">
        <v>450</v>
      </c>
      <c r="B2" s="592"/>
      <c r="C2" s="62"/>
      <c r="D2" s="61"/>
      <c r="E2" s="61"/>
      <c r="F2" s="62"/>
    </row>
    <row r="3" spans="1:7" x14ac:dyDescent="0.25">
      <c r="A3" s="593" t="s">
        <v>903</v>
      </c>
      <c r="B3" s="593"/>
      <c r="C3" s="593"/>
      <c r="D3" s="593"/>
      <c r="E3" s="593"/>
      <c r="F3" s="64"/>
    </row>
    <row r="4" spans="1:7" ht="43.5" customHeight="1" x14ac:dyDescent="0.25">
      <c r="A4" s="541" t="s">
        <v>942</v>
      </c>
      <c r="B4" s="541"/>
      <c r="C4" s="541"/>
      <c r="D4" s="541"/>
      <c r="E4" s="541"/>
      <c r="F4" s="291"/>
    </row>
    <row r="6" spans="1:7" s="60" customFormat="1" ht="13.5" customHeight="1" x14ac:dyDescent="0.25">
      <c r="A6" s="64"/>
      <c r="B6" s="316"/>
      <c r="C6" s="154"/>
      <c r="D6" s="64"/>
      <c r="E6" s="347" t="str">
        <f>CONCATENATE(functie," ",nume_candidat)</f>
        <v>Conferențiar Codrean Cosmin</v>
      </c>
      <c r="F6" s="71"/>
    </row>
    <row r="7" spans="1:7" ht="15" customHeight="1" x14ac:dyDescent="0.25">
      <c r="A7" s="532" t="s">
        <v>338</v>
      </c>
      <c r="B7" s="532" t="s">
        <v>1031</v>
      </c>
      <c r="C7" s="532" t="s">
        <v>2</v>
      </c>
      <c r="D7" s="532" t="s">
        <v>460</v>
      </c>
      <c r="E7" s="533" t="s">
        <v>544</v>
      </c>
      <c r="F7" s="539" t="s">
        <v>541</v>
      </c>
    </row>
    <row r="8" spans="1:7" ht="54" customHeight="1" x14ac:dyDescent="0.25">
      <c r="A8" s="532"/>
      <c r="B8" s="532"/>
      <c r="C8" s="532"/>
      <c r="D8" s="532"/>
      <c r="E8" s="534"/>
      <c r="F8" s="539"/>
      <c r="G8" s="64" t="s">
        <v>461</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C4" zoomScaleNormal="100" workbookViewId="0">
      <selection activeCell="M19" sqref="M19"/>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9"/>
    </row>
    <row r="2" spans="1:11" s="60" customFormat="1" x14ac:dyDescent="0.2">
      <c r="A2" s="59" t="s">
        <v>943</v>
      </c>
      <c r="G2" s="61"/>
      <c r="I2" s="63"/>
      <c r="J2" s="289"/>
    </row>
    <row r="3" spans="1:11" s="60" customFormat="1" x14ac:dyDescent="0.2">
      <c r="A3" s="59"/>
      <c r="G3" s="61"/>
      <c r="I3" s="63"/>
      <c r="J3" s="289"/>
    </row>
    <row r="4" spans="1:11" x14ac:dyDescent="0.25">
      <c r="A4" s="535" t="s">
        <v>903</v>
      </c>
      <c r="B4" s="535"/>
      <c r="C4" s="535"/>
      <c r="D4" s="535"/>
      <c r="E4" s="535"/>
      <c r="F4" s="535"/>
      <c r="G4" s="535"/>
      <c r="H4" s="535"/>
      <c r="I4" s="535"/>
      <c r="J4" s="291"/>
    </row>
    <row r="5" spans="1:11" x14ac:dyDescent="0.25">
      <c r="A5" s="535" t="s">
        <v>944</v>
      </c>
      <c r="B5" s="535"/>
      <c r="C5" s="535"/>
      <c r="D5" s="535"/>
      <c r="E5" s="535"/>
      <c r="F5" s="535"/>
      <c r="G5" s="535"/>
      <c r="H5" s="535"/>
      <c r="I5" s="535"/>
    </row>
    <row r="6" spans="1:11" ht="13.5" customHeight="1" x14ac:dyDescent="0.25">
      <c r="G6" s="64"/>
      <c r="I6" s="347" t="str">
        <f>CONCATENATE(functie," ",nume_candidat)</f>
        <v>Conferențiar Codrean Cosmin</v>
      </c>
    </row>
    <row r="7" spans="1:11" ht="18.75" customHeight="1" x14ac:dyDescent="0.25">
      <c r="A7" s="532" t="s">
        <v>338</v>
      </c>
      <c r="B7" s="532" t="s">
        <v>0</v>
      </c>
      <c r="C7" s="532" t="s">
        <v>545</v>
      </c>
      <c r="D7" s="532" t="s">
        <v>1052</v>
      </c>
      <c r="E7" s="532" t="s">
        <v>1032</v>
      </c>
      <c r="F7" s="532" t="s">
        <v>16</v>
      </c>
      <c r="G7" s="538" t="s">
        <v>2</v>
      </c>
      <c r="H7" s="532" t="s">
        <v>18</v>
      </c>
      <c r="I7" s="594" t="s">
        <v>544</v>
      </c>
      <c r="J7" s="539" t="s">
        <v>541</v>
      </c>
      <c r="K7" s="540" t="s">
        <v>551</v>
      </c>
    </row>
    <row r="8" spans="1:11" ht="46.5" customHeight="1" x14ac:dyDescent="0.25">
      <c r="A8" s="532"/>
      <c r="B8" s="532"/>
      <c r="C8" s="532"/>
      <c r="D8" s="532"/>
      <c r="E8" s="532"/>
      <c r="F8" s="532"/>
      <c r="G8" s="538"/>
      <c r="H8" s="532"/>
      <c r="I8" s="595"/>
      <c r="J8" s="539"/>
      <c r="K8" s="540"/>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E18" sqref="E18"/>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9"/>
    </row>
    <row r="2" spans="1:9" s="60" customFormat="1" x14ac:dyDescent="0.2">
      <c r="A2" s="59" t="s">
        <v>943</v>
      </c>
      <c r="F2" s="61"/>
      <c r="G2" s="63"/>
      <c r="H2" s="289"/>
    </row>
    <row r="3" spans="1:9" s="60" customFormat="1" x14ac:dyDescent="0.2">
      <c r="A3" s="59"/>
      <c r="F3" s="61"/>
      <c r="G3" s="63"/>
      <c r="H3" s="289"/>
    </row>
    <row r="4" spans="1:9" x14ac:dyDescent="0.25">
      <c r="A4" s="535" t="s">
        <v>903</v>
      </c>
      <c r="B4" s="535"/>
      <c r="C4" s="535"/>
      <c r="D4" s="535"/>
      <c r="E4" s="535"/>
      <c r="F4" s="535"/>
      <c r="G4" s="535"/>
      <c r="H4" s="291"/>
    </row>
    <row r="5" spans="1:9" x14ac:dyDescent="0.25">
      <c r="A5" s="535" t="s">
        <v>948</v>
      </c>
      <c r="B5" s="535"/>
      <c r="C5" s="535"/>
      <c r="D5" s="535"/>
      <c r="E5" s="535"/>
      <c r="F5" s="535"/>
      <c r="G5" s="535"/>
    </row>
    <row r="6" spans="1:9" ht="13.5" customHeight="1" x14ac:dyDescent="0.25">
      <c r="F6" s="64"/>
      <c r="G6" s="347" t="str">
        <f>CONCATENATE(functie," ",nume_candidat)</f>
        <v>Conferențiar Codrean Cosmin</v>
      </c>
    </row>
    <row r="7" spans="1:9" ht="18.75" customHeight="1" x14ac:dyDescent="0.25">
      <c r="A7" s="532" t="s">
        <v>338</v>
      </c>
      <c r="B7" s="532" t="s">
        <v>0</v>
      </c>
      <c r="C7" s="532" t="s">
        <v>953</v>
      </c>
      <c r="D7" s="532" t="s">
        <v>1053</v>
      </c>
      <c r="E7" s="532" t="s">
        <v>1025</v>
      </c>
      <c r="F7" s="538" t="s">
        <v>2</v>
      </c>
      <c r="G7" s="594" t="s">
        <v>544</v>
      </c>
      <c r="H7" s="539" t="s">
        <v>541</v>
      </c>
      <c r="I7" s="540" t="s">
        <v>551</v>
      </c>
    </row>
    <row r="8" spans="1:9" ht="46.5" customHeight="1" x14ac:dyDescent="0.25">
      <c r="A8" s="532"/>
      <c r="B8" s="532"/>
      <c r="C8" s="532"/>
      <c r="D8" s="532"/>
      <c r="E8" s="532"/>
      <c r="F8" s="538"/>
      <c r="G8" s="595"/>
      <c r="H8" s="539"/>
      <c r="I8" s="540"/>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I14" sqref="I14"/>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59" t="s">
        <v>943</v>
      </c>
      <c r="C2" s="61"/>
      <c r="D2" s="63"/>
      <c r="E2" s="289"/>
    </row>
    <row r="3" spans="1:6" s="60" customFormat="1" x14ac:dyDescent="0.2">
      <c r="A3" s="59"/>
      <c r="C3" s="61"/>
      <c r="D3" s="63"/>
      <c r="E3" s="289"/>
    </row>
    <row r="4" spans="1:6" x14ac:dyDescent="0.25">
      <c r="A4" s="535" t="s">
        <v>903</v>
      </c>
      <c r="B4" s="535"/>
      <c r="C4" s="535"/>
      <c r="D4" s="535"/>
      <c r="E4" s="291"/>
    </row>
    <row r="5" spans="1:6" ht="57" customHeight="1" x14ac:dyDescent="0.25">
      <c r="A5" s="541" t="s">
        <v>955</v>
      </c>
      <c r="B5" s="541"/>
      <c r="C5" s="541"/>
      <c r="D5" s="541"/>
    </row>
    <row r="6" spans="1:6" ht="13.5" customHeight="1" x14ac:dyDescent="0.25">
      <c r="C6" s="64"/>
      <c r="D6" s="347" t="str">
        <f>CONCATENATE(functie," ",nume_candidat)</f>
        <v>Conferențiar Codrean Cosmin</v>
      </c>
    </row>
    <row r="7" spans="1:6" ht="18.75" customHeight="1" x14ac:dyDescent="0.25">
      <c r="A7" s="532" t="s">
        <v>338</v>
      </c>
      <c r="B7" s="532" t="s">
        <v>889</v>
      </c>
      <c r="C7" s="538" t="s">
        <v>2</v>
      </c>
      <c r="D7" s="594" t="s">
        <v>544</v>
      </c>
      <c r="E7" s="539" t="s">
        <v>541</v>
      </c>
      <c r="F7" s="540" t="s">
        <v>551</v>
      </c>
    </row>
    <row r="8" spans="1:6" ht="46.5" customHeight="1" x14ac:dyDescent="0.25">
      <c r="A8" s="532"/>
      <c r="B8" s="532"/>
      <c r="C8" s="538"/>
      <c r="D8" s="595"/>
      <c r="E8" s="539"/>
      <c r="F8" s="540"/>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J16" sqref="J16"/>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9"/>
    </row>
    <row r="2" spans="1:9" s="60" customFormat="1" x14ac:dyDescent="0.2">
      <c r="A2" s="59" t="s">
        <v>943</v>
      </c>
      <c r="E2" s="61"/>
      <c r="G2" s="63"/>
      <c r="H2" s="289"/>
    </row>
    <row r="3" spans="1:9" s="60" customFormat="1" x14ac:dyDescent="0.2">
      <c r="A3" s="59"/>
      <c r="E3" s="61"/>
      <c r="G3" s="63"/>
      <c r="H3" s="289"/>
    </row>
    <row r="4" spans="1:9" x14ac:dyDescent="0.25">
      <c r="A4" s="535" t="s">
        <v>903</v>
      </c>
      <c r="B4" s="535"/>
      <c r="C4" s="535"/>
      <c r="D4" s="535"/>
      <c r="E4" s="535"/>
      <c r="F4" s="535"/>
      <c r="G4" s="535"/>
      <c r="H4" s="291"/>
    </row>
    <row r="5" spans="1:9" x14ac:dyDescent="0.25">
      <c r="A5" s="535" t="s">
        <v>954</v>
      </c>
      <c r="B5" s="535"/>
      <c r="C5" s="535"/>
      <c r="D5" s="535"/>
      <c r="E5" s="535"/>
      <c r="F5" s="535"/>
      <c r="G5" s="535"/>
    </row>
    <row r="6" spans="1:9" ht="13.5" customHeight="1" x14ac:dyDescent="0.25">
      <c r="E6" s="64"/>
      <c r="G6" s="347" t="str">
        <f>CONCATENATE(functie," ",nume_candidat)</f>
        <v>Conferențiar Codrean Cosmin</v>
      </c>
    </row>
    <row r="7" spans="1:9" ht="18.75" customHeight="1" x14ac:dyDescent="0.25">
      <c r="A7" s="532" t="s">
        <v>338</v>
      </c>
      <c r="B7" s="532" t="s">
        <v>960</v>
      </c>
      <c r="C7" s="532" t="s">
        <v>889</v>
      </c>
      <c r="D7" s="532" t="s">
        <v>460</v>
      </c>
      <c r="E7" s="538" t="s">
        <v>2</v>
      </c>
      <c r="F7" s="532" t="s">
        <v>961</v>
      </c>
      <c r="G7" s="594" t="s">
        <v>544</v>
      </c>
      <c r="H7" s="539" t="s">
        <v>541</v>
      </c>
      <c r="I7" s="540" t="s">
        <v>551</v>
      </c>
    </row>
    <row r="8" spans="1:9" ht="46.5" customHeight="1" x14ac:dyDescent="0.25">
      <c r="A8" s="532"/>
      <c r="B8" s="532"/>
      <c r="C8" s="532"/>
      <c r="D8" s="532"/>
      <c r="E8" s="538"/>
      <c r="F8" s="532"/>
      <c r="G8" s="595"/>
      <c r="H8" s="539"/>
      <c r="I8" s="540"/>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M16" sqref="M16"/>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9"/>
      <c r="I1" s="63"/>
      <c r="J1" s="63"/>
    </row>
    <row r="2" spans="1:10" s="60" customFormat="1" x14ac:dyDescent="0.2">
      <c r="A2" s="59" t="s">
        <v>739</v>
      </c>
      <c r="E2" s="61"/>
      <c r="F2" s="63"/>
      <c r="G2" s="289"/>
      <c r="I2" s="63"/>
      <c r="J2" s="63"/>
    </row>
    <row r="3" spans="1:10" s="60" customFormat="1" x14ac:dyDescent="0.2">
      <c r="A3" s="59"/>
      <c r="E3" s="61"/>
      <c r="F3" s="63"/>
      <c r="G3" s="289"/>
      <c r="I3" s="63"/>
      <c r="J3" s="63"/>
    </row>
    <row r="4" spans="1:10" x14ac:dyDescent="0.25">
      <c r="A4" s="535" t="s">
        <v>903</v>
      </c>
      <c r="B4" s="535"/>
      <c r="C4" s="535"/>
      <c r="D4" s="535"/>
      <c r="E4" s="535"/>
      <c r="F4" s="535"/>
      <c r="G4" s="291"/>
    </row>
    <row r="5" spans="1:10" x14ac:dyDescent="0.25">
      <c r="A5" s="535" t="s">
        <v>962</v>
      </c>
      <c r="B5" s="535"/>
      <c r="C5" s="535"/>
      <c r="D5" s="535"/>
      <c r="E5" s="535"/>
      <c r="F5" s="535"/>
    </row>
    <row r="6" spans="1:10" ht="13.5" customHeight="1" x14ac:dyDescent="0.25">
      <c r="E6" s="64"/>
      <c r="F6" s="347" t="str">
        <f>CONCATENATE(functie," ",nume_candidat)</f>
        <v>Conferențiar Codrean Cosmin</v>
      </c>
      <c r="I6" s="347" t="str">
        <f>CONCATENATE(functie," ",nume_candidat)</f>
        <v>Conferențiar Codrean Cosmin</v>
      </c>
      <c r="J6" s="347" t="str">
        <f>CONCATENATE(functie," ",nume_candidat)</f>
        <v>Conferențiar Codrean Cosmin</v>
      </c>
    </row>
    <row r="7" spans="1:10" ht="18.75" customHeight="1" x14ac:dyDescent="0.25">
      <c r="A7" s="532" t="s">
        <v>338</v>
      </c>
      <c r="B7" s="532" t="s">
        <v>452</v>
      </c>
      <c r="C7" s="532" t="s">
        <v>963</v>
      </c>
      <c r="D7" s="532" t="s">
        <v>460</v>
      </c>
      <c r="E7" s="538" t="s">
        <v>2</v>
      </c>
      <c r="F7" s="594" t="s">
        <v>544</v>
      </c>
      <c r="G7" s="539" t="s">
        <v>541</v>
      </c>
      <c r="H7" s="540" t="s">
        <v>551</v>
      </c>
      <c r="I7" s="594" t="s">
        <v>964</v>
      </c>
      <c r="J7" s="594" t="s">
        <v>965</v>
      </c>
    </row>
    <row r="8" spans="1:10" ht="46.5" customHeight="1" x14ac:dyDescent="0.25">
      <c r="A8" s="532"/>
      <c r="B8" s="532"/>
      <c r="C8" s="532"/>
      <c r="D8" s="532"/>
      <c r="E8" s="538"/>
      <c r="F8" s="595"/>
      <c r="G8" s="539"/>
      <c r="H8" s="540"/>
      <c r="I8" s="595"/>
      <c r="J8" s="595"/>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H2" sqref="H2"/>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483</v>
      </c>
      <c r="E1" s="61"/>
      <c r="F1" s="61"/>
      <c r="H1" s="62"/>
      <c r="J1" s="62"/>
      <c r="M1" s="289"/>
      <c r="N1" s="289"/>
      <c r="O1" s="289"/>
      <c r="P1" s="289"/>
    </row>
    <row r="2" spans="1:16" s="60" customFormat="1" ht="15.75" x14ac:dyDescent="0.2">
      <c r="A2" s="592" t="s">
        <v>424</v>
      </c>
      <c r="B2" s="592"/>
      <c r="C2" s="592"/>
      <c r="E2" s="61"/>
      <c r="F2" s="61"/>
      <c r="H2" s="62"/>
      <c r="J2" s="62"/>
      <c r="M2" s="289"/>
      <c r="N2" s="289"/>
      <c r="O2" s="289"/>
      <c r="P2" s="289"/>
    </row>
    <row r="3" spans="1:16" s="64" customFormat="1" ht="15.75" x14ac:dyDescent="0.25">
      <c r="A3" s="535" t="s">
        <v>903</v>
      </c>
      <c r="B3" s="535"/>
      <c r="C3" s="535"/>
      <c r="D3" s="535"/>
      <c r="E3" s="535"/>
      <c r="F3" s="535"/>
      <c r="G3" s="291"/>
    </row>
    <row r="4" spans="1:16" ht="15.75" x14ac:dyDescent="0.25">
      <c r="A4" s="541" t="s">
        <v>966</v>
      </c>
      <c r="B4" s="541"/>
      <c r="C4" s="541"/>
      <c r="D4" s="541"/>
      <c r="E4" s="541"/>
      <c r="F4" s="541"/>
      <c r="G4" s="541"/>
      <c r="H4" s="49"/>
    </row>
    <row r="6" spans="1:16" ht="15.75" x14ac:dyDescent="0.25">
      <c r="H6" s="347" t="str">
        <f>CONCATENATE(functie," ",nume_candidat)</f>
        <v>Conferențiar Codrean Cosmin</v>
      </c>
    </row>
    <row r="7" spans="1:16" ht="15.75" customHeight="1" x14ac:dyDescent="0.25">
      <c r="A7" s="532" t="s">
        <v>338</v>
      </c>
      <c r="B7" s="532" t="s">
        <v>426</v>
      </c>
      <c r="C7" s="532" t="s">
        <v>437</v>
      </c>
      <c r="D7" s="538" t="s">
        <v>425</v>
      </c>
      <c r="E7" s="532" t="s">
        <v>439</v>
      </c>
      <c r="F7" s="538" t="s">
        <v>442</v>
      </c>
      <c r="G7" s="538" t="s">
        <v>438</v>
      </c>
      <c r="H7" s="596" t="s">
        <v>13</v>
      </c>
    </row>
    <row r="8" spans="1:16" ht="15" customHeight="1" x14ac:dyDescent="0.25">
      <c r="A8" s="532"/>
      <c r="B8" s="532"/>
      <c r="C8" s="532"/>
      <c r="D8" s="538"/>
      <c r="E8" s="532"/>
      <c r="F8" s="538"/>
      <c r="G8" s="538"/>
      <c r="H8" s="596"/>
    </row>
    <row r="9" spans="1:16" ht="15.75" x14ac:dyDescent="0.25">
      <c r="A9" s="330"/>
      <c r="G9" s="89" t="s">
        <v>453</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31"/>
  <sheetViews>
    <sheetView topLeftCell="A16" zoomScale="80" zoomScaleNormal="80" workbookViewId="0">
      <selection activeCell="G11" sqref="G11"/>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483</v>
      </c>
      <c r="E1" s="393"/>
      <c r="F1" s="61"/>
      <c r="G1" s="63"/>
      <c r="H1" s="62"/>
      <c r="I1" s="289"/>
    </row>
    <row r="2" spans="1:9" s="60" customFormat="1" ht="15.75" x14ac:dyDescent="0.2">
      <c r="A2" s="346" t="str">
        <f>IF(ISBLANK(facultate), IF(ISBLANK(departament),"","Departament " &amp; departament), "Facultatea " &amp; facultate)</f>
        <v>Facultatea Mecanică</v>
      </c>
      <c r="E2" s="393"/>
      <c r="F2" s="61"/>
      <c r="G2" s="63"/>
      <c r="H2" s="62"/>
      <c r="I2" s="289"/>
    </row>
    <row r="3" spans="1:9" s="60" customFormat="1" ht="15.75" x14ac:dyDescent="0.2">
      <c r="A3" s="346" t="str">
        <f>IF(ISBLANK(departament),"","Departamentul " &amp; departament)</f>
        <v>Departamentul Ingineria Materialelor și Fabricației</v>
      </c>
      <c r="E3" s="393"/>
      <c r="F3" s="61"/>
      <c r="G3" s="63"/>
      <c r="H3" s="62"/>
      <c r="I3" s="289"/>
    </row>
    <row r="4" spans="1:9" s="64" customFormat="1" ht="15.75" x14ac:dyDescent="0.25">
      <c r="B4" s="290"/>
      <c r="C4" s="384"/>
      <c r="D4" s="290" t="s">
        <v>903</v>
      </c>
      <c r="E4" s="385"/>
      <c r="F4" s="290"/>
      <c r="G4" s="290"/>
      <c r="H4" s="226"/>
      <c r="I4" s="291"/>
    </row>
    <row r="5" spans="1:9" s="64" customFormat="1" ht="15.75" x14ac:dyDescent="0.25">
      <c r="B5" s="290"/>
      <c r="C5" s="384"/>
      <c r="D5" s="290" t="s">
        <v>967</v>
      </c>
      <c r="E5" s="385"/>
      <c r="F5" s="290"/>
      <c r="G5" s="290"/>
      <c r="H5" s="226"/>
      <c r="I5" s="71"/>
    </row>
    <row r="6" spans="1:9" s="64" customFormat="1" ht="13.5" customHeight="1" x14ac:dyDescent="0.25">
      <c r="A6" s="60"/>
      <c r="E6" s="398" t="str">
        <f>CONCATENATE(functie," ",nume_candidat)</f>
        <v>Conferențiar Codrean Cosmin</v>
      </c>
      <c r="H6" s="70"/>
      <c r="I6" s="71"/>
    </row>
    <row r="7" spans="1:9" ht="15" customHeight="1" x14ac:dyDescent="0.25">
      <c r="B7" s="543" t="s">
        <v>889</v>
      </c>
      <c r="C7" s="598" t="s">
        <v>14</v>
      </c>
      <c r="D7" s="599"/>
      <c r="E7" s="533" t="s">
        <v>544</v>
      </c>
    </row>
    <row r="8" spans="1:9" ht="15" customHeight="1" x14ac:dyDescent="0.25">
      <c r="B8" s="544"/>
      <c r="C8" s="600"/>
      <c r="D8" s="601"/>
      <c r="E8" s="550"/>
    </row>
    <row r="9" spans="1:9" ht="15" customHeight="1" x14ac:dyDescent="0.25">
      <c r="B9" s="544"/>
      <c r="C9" s="600"/>
      <c r="D9" s="601"/>
      <c r="E9" s="550"/>
    </row>
    <row r="10" spans="1:9" ht="15.75" customHeight="1" x14ac:dyDescent="0.25">
      <c r="B10" s="545"/>
      <c r="C10" s="602"/>
      <c r="D10" s="603"/>
      <c r="E10" s="534"/>
    </row>
    <row r="11" spans="1:9" ht="47.25" x14ac:dyDescent="0.25">
      <c r="B11" s="419" t="s">
        <v>741</v>
      </c>
      <c r="C11" s="590"/>
      <c r="D11" s="591"/>
      <c r="E11" s="351">
        <f>C11*200</f>
        <v>0</v>
      </c>
    </row>
    <row r="12" spans="1:9" ht="47.25" x14ac:dyDescent="0.25">
      <c r="B12" s="419" t="s">
        <v>1080</v>
      </c>
      <c r="C12" s="590"/>
      <c r="D12" s="591"/>
      <c r="E12" s="351">
        <f>C12*50</f>
        <v>0</v>
      </c>
    </row>
    <row r="13" spans="1:9" ht="31.5" x14ac:dyDescent="0.25">
      <c r="B13" s="419" t="s">
        <v>968</v>
      </c>
      <c r="C13" s="590"/>
      <c r="D13" s="591"/>
      <c r="E13" s="351">
        <f>C13*100</f>
        <v>0</v>
      </c>
      <c r="G13" s="409"/>
    </row>
    <row r="14" spans="1:9" ht="31.5" x14ac:dyDescent="0.25">
      <c r="B14" s="419" t="s">
        <v>742</v>
      </c>
      <c r="C14" s="590">
        <v>13</v>
      </c>
      <c r="D14" s="591"/>
      <c r="E14" s="351">
        <f>C14*5</f>
        <v>65</v>
      </c>
    </row>
    <row r="15" spans="1:9" ht="15.75" x14ac:dyDescent="0.25">
      <c r="B15" s="590" t="s">
        <v>930</v>
      </c>
      <c r="C15" s="597"/>
      <c r="D15" s="591"/>
      <c r="E15" s="351">
        <f>SUM(E11:E14)</f>
        <v>65</v>
      </c>
    </row>
    <row r="18" spans="2:5" ht="15" customHeight="1" x14ac:dyDescent="0.25">
      <c r="B18" s="396" t="s">
        <v>1035</v>
      </c>
      <c r="C18" s="387" t="s">
        <v>1033</v>
      </c>
      <c r="D18" s="388" t="s">
        <v>1036</v>
      </c>
      <c r="E18" s="397" t="s">
        <v>1034</v>
      </c>
    </row>
    <row r="19" spans="2:5" ht="30.95" customHeight="1" x14ac:dyDescent="0.25">
      <c r="B19" s="394" t="s">
        <v>1383</v>
      </c>
      <c r="C19" s="37">
        <v>2018</v>
      </c>
      <c r="D19" s="386"/>
      <c r="E19" s="395" t="s">
        <v>1384</v>
      </c>
    </row>
    <row r="20" spans="2:5" ht="30.95" customHeight="1" x14ac:dyDescent="0.25">
      <c r="B20" s="394" t="s">
        <v>1385</v>
      </c>
      <c r="C20" s="37">
        <v>2018</v>
      </c>
      <c r="D20" s="386"/>
      <c r="E20" s="395" t="s">
        <v>1384</v>
      </c>
    </row>
    <row r="21" spans="2:5" ht="30.95" customHeight="1" x14ac:dyDescent="0.25">
      <c r="B21" s="394" t="s">
        <v>1386</v>
      </c>
      <c r="C21" s="37">
        <v>2018</v>
      </c>
      <c r="D21" s="386"/>
      <c r="E21" s="395" t="s">
        <v>1384</v>
      </c>
    </row>
    <row r="22" spans="2:5" ht="47.25" x14ac:dyDescent="0.25">
      <c r="B22" s="394" t="s">
        <v>1387</v>
      </c>
      <c r="C22" s="37">
        <v>2018</v>
      </c>
      <c r="D22" s="508"/>
      <c r="E22" s="395" t="s">
        <v>1384</v>
      </c>
    </row>
    <row r="23" spans="2:5" ht="30.95" customHeight="1" x14ac:dyDescent="0.25">
      <c r="B23" s="394" t="s">
        <v>1388</v>
      </c>
      <c r="C23" s="37">
        <v>2018</v>
      </c>
      <c r="D23" s="508"/>
      <c r="E23" s="395" t="s">
        <v>1384</v>
      </c>
    </row>
    <row r="24" spans="2:5" ht="30.95" customHeight="1" x14ac:dyDescent="0.25">
      <c r="B24" s="394" t="s">
        <v>1389</v>
      </c>
      <c r="C24" s="37">
        <v>2018</v>
      </c>
      <c r="D24" s="508"/>
      <c r="E24" s="395" t="s">
        <v>1384</v>
      </c>
    </row>
    <row r="25" spans="2:5" ht="30.95" customHeight="1" x14ac:dyDescent="0.25">
      <c r="B25" s="394" t="s">
        <v>1390</v>
      </c>
      <c r="C25" s="37">
        <v>2017</v>
      </c>
      <c r="D25" s="508"/>
      <c r="E25" s="395" t="s">
        <v>1384</v>
      </c>
    </row>
    <row r="26" spans="2:5" ht="30.95" customHeight="1" x14ac:dyDescent="0.25">
      <c r="B26" s="394" t="s">
        <v>1391</v>
      </c>
      <c r="C26" s="37">
        <v>2017</v>
      </c>
      <c r="D26" s="508"/>
      <c r="E26" s="395" t="s">
        <v>1384</v>
      </c>
    </row>
    <row r="27" spans="2:5" ht="30.95" customHeight="1" x14ac:dyDescent="0.25">
      <c r="B27" s="394" t="s">
        <v>1392</v>
      </c>
      <c r="C27" s="37">
        <v>2017</v>
      </c>
      <c r="D27" s="508"/>
      <c r="E27" s="395" t="s">
        <v>1384</v>
      </c>
    </row>
    <row r="28" spans="2:5" ht="30.95" customHeight="1" x14ac:dyDescent="0.25">
      <c r="B28" s="394" t="s">
        <v>1393</v>
      </c>
      <c r="C28" s="37">
        <v>2017</v>
      </c>
      <c r="D28" s="508"/>
      <c r="E28" s="395" t="s">
        <v>1384</v>
      </c>
    </row>
    <row r="29" spans="2:5" ht="30.95" customHeight="1" x14ac:dyDescent="0.25">
      <c r="B29" s="394" t="s">
        <v>1394</v>
      </c>
      <c r="C29" s="37">
        <v>2016</v>
      </c>
      <c r="D29" s="508"/>
      <c r="E29" s="395" t="s">
        <v>1384</v>
      </c>
    </row>
    <row r="30" spans="2:5" ht="30.95" customHeight="1" x14ac:dyDescent="0.25">
      <c r="B30" s="394" t="s">
        <v>1395</v>
      </c>
      <c r="C30" s="37">
        <v>2016</v>
      </c>
      <c r="D30" s="508"/>
      <c r="E30" s="395" t="s">
        <v>1384</v>
      </c>
    </row>
    <row r="31" spans="2:5" ht="30.95" customHeight="1" x14ac:dyDescent="0.25">
      <c r="B31" s="394" t="s">
        <v>1396</v>
      </c>
      <c r="C31" s="37">
        <v>2016</v>
      </c>
      <c r="D31" s="508"/>
      <c r="E31" s="395" t="s">
        <v>1384</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K11" sqref="K11"/>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6" t="str">
        <f>IF(ISBLANK(facultate), IF(ISBLANK(departament),"","Departament " &amp; departament), "Facultatea " &amp; facultate)</f>
        <v>Facultatea Mecanică</v>
      </c>
      <c r="B2" s="59"/>
      <c r="C2" s="59"/>
      <c r="E2" s="61"/>
      <c r="F2" s="63"/>
      <c r="G2" s="62"/>
      <c r="H2" s="63"/>
      <c r="I2" s="63"/>
      <c r="J2" s="63"/>
    </row>
    <row r="3" spans="1:10" s="60" customFormat="1" x14ac:dyDescent="0.2">
      <c r="A3" s="346" t="str">
        <f>IF(ISBLANK(departament),"","Departamentul " &amp; departament)</f>
        <v>Departamentul Ingineria Materialelor și Fabricației</v>
      </c>
      <c r="B3" s="59"/>
      <c r="C3" s="59"/>
      <c r="E3" s="61"/>
      <c r="F3" s="63"/>
      <c r="G3" s="62"/>
      <c r="H3" s="63"/>
      <c r="I3" s="63"/>
      <c r="J3" s="63"/>
    </row>
    <row r="4" spans="1:10" x14ac:dyDescent="0.25">
      <c r="A4" s="535" t="s">
        <v>903</v>
      </c>
      <c r="B4" s="535"/>
      <c r="C4" s="535"/>
      <c r="D4" s="535"/>
      <c r="E4" s="535"/>
      <c r="F4" s="535"/>
      <c r="G4" s="535"/>
    </row>
    <row r="5" spans="1:10" x14ac:dyDescent="0.25">
      <c r="A5" s="535" t="s">
        <v>977</v>
      </c>
      <c r="B5" s="535"/>
      <c r="C5" s="535"/>
      <c r="D5" s="535"/>
      <c r="E5" s="535"/>
      <c r="F5" s="535"/>
      <c r="G5" s="226"/>
    </row>
    <row r="6" spans="1:10" ht="13.5" customHeight="1" x14ac:dyDescent="0.25">
      <c r="E6" s="64"/>
      <c r="F6" s="347" t="str">
        <f>CONCATENATE(functie," ",nume_candidat)</f>
        <v>Conferențiar Codrean Cosmin</v>
      </c>
      <c r="H6" s="347"/>
      <c r="I6" s="347"/>
      <c r="J6" s="347"/>
    </row>
    <row r="7" spans="1:10" ht="18.75" customHeight="1" x14ac:dyDescent="0.25">
      <c r="A7" s="533" t="s">
        <v>338</v>
      </c>
      <c r="B7" s="533" t="s">
        <v>975</v>
      </c>
      <c r="C7" s="533" t="s">
        <v>1054</v>
      </c>
      <c r="D7" s="533" t="s">
        <v>976</v>
      </c>
      <c r="E7" s="543" t="s">
        <v>2</v>
      </c>
      <c r="F7" s="533" t="s">
        <v>544</v>
      </c>
      <c r="G7" s="533" t="s">
        <v>4</v>
      </c>
      <c r="H7" s="533" t="s">
        <v>544</v>
      </c>
      <c r="I7" s="533" t="s">
        <v>544</v>
      </c>
      <c r="J7" s="533" t="s">
        <v>544</v>
      </c>
    </row>
    <row r="8" spans="1:10" ht="18.75" customHeight="1" x14ac:dyDescent="0.25">
      <c r="A8" s="550"/>
      <c r="B8" s="550"/>
      <c r="C8" s="550"/>
      <c r="D8" s="550"/>
      <c r="E8" s="544"/>
      <c r="F8" s="550"/>
      <c r="G8" s="550"/>
      <c r="H8" s="550"/>
      <c r="I8" s="550"/>
      <c r="J8" s="550"/>
    </row>
    <row r="9" spans="1:10" ht="18.75" customHeight="1" x14ac:dyDescent="0.25">
      <c r="A9" s="550"/>
      <c r="B9" s="550"/>
      <c r="C9" s="550"/>
      <c r="D9" s="550"/>
      <c r="E9" s="544"/>
      <c r="F9" s="534"/>
      <c r="G9" s="534"/>
      <c r="H9" s="534"/>
      <c r="I9" s="534"/>
      <c r="J9" s="534"/>
    </row>
    <row r="10" spans="1:10" ht="18.75" customHeight="1" x14ac:dyDescent="0.25">
      <c r="A10" s="534"/>
      <c r="B10" s="534"/>
      <c r="C10" s="534"/>
      <c r="D10" s="534"/>
      <c r="E10" s="545"/>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2" t="str">
        <f t="shared" si="2"/>
        <v/>
      </c>
      <c r="I13" s="382" t="str">
        <f t="shared" si="3"/>
        <v/>
      </c>
      <c r="J13" s="382" t="str">
        <f t="shared" si="4"/>
        <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O19" sqref="O19"/>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Ingineria Materialelor și Fabricației</v>
      </c>
      <c r="D3" s="61"/>
      <c r="E3" s="63"/>
      <c r="F3" s="289"/>
      <c r="H3" s="63"/>
      <c r="I3" s="63"/>
    </row>
    <row r="4" spans="1:9" x14ac:dyDescent="0.25">
      <c r="A4" s="535" t="s">
        <v>903</v>
      </c>
      <c r="B4" s="535"/>
      <c r="C4" s="535"/>
      <c r="D4" s="535"/>
      <c r="E4" s="535"/>
      <c r="F4" s="291"/>
    </row>
    <row r="5" spans="1:9" x14ac:dyDescent="0.25">
      <c r="A5" s="535" t="s">
        <v>989</v>
      </c>
      <c r="B5" s="535"/>
      <c r="C5" s="535"/>
      <c r="D5" s="535"/>
      <c r="E5" s="535"/>
    </row>
    <row r="6" spans="1:9" ht="13.5" customHeight="1" x14ac:dyDescent="0.25">
      <c r="D6" s="64"/>
      <c r="E6" s="347" t="str">
        <f>CONCATENATE(functie," ",nume_candidat)</f>
        <v>Conferențiar Codrean Cosmin</v>
      </c>
      <c r="H6" s="347"/>
      <c r="I6" s="347"/>
    </row>
    <row r="7" spans="1:9" ht="18.75" customHeight="1" x14ac:dyDescent="0.25">
      <c r="A7" s="532" t="s">
        <v>338</v>
      </c>
      <c r="B7" s="532" t="s">
        <v>1042</v>
      </c>
      <c r="C7" s="532" t="s">
        <v>460</v>
      </c>
      <c r="D7" s="538" t="s">
        <v>2</v>
      </c>
      <c r="E7" s="594" t="s">
        <v>544</v>
      </c>
      <c r="F7" s="539" t="s">
        <v>541</v>
      </c>
      <c r="G7" s="540" t="s">
        <v>551</v>
      </c>
      <c r="H7" s="604" t="s">
        <v>1227</v>
      </c>
      <c r="I7" s="604" t="s">
        <v>1228</v>
      </c>
    </row>
    <row r="8" spans="1:9" ht="46.5" customHeight="1" x14ac:dyDescent="0.25">
      <c r="A8" s="532"/>
      <c r="B8" s="532"/>
      <c r="C8" s="532"/>
      <c r="D8" s="538"/>
      <c r="E8" s="595"/>
      <c r="F8" s="539"/>
      <c r="G8" s="540"/>
      <c r="H8" s="595"/>
      <c r="I8" s="595"/>
    </row>
    <row r="9" spans="1:9" x14ac:dyDescent="0.25">
      <c r="A9" s="88"/>
      <c r="B9" s="65"/>
      <c r="C9" s="65"/>
      <c r="D9" s="30"/>
      <c r="E9" s="148">
        <f>SUMIF(E10:E1010,"&gt;0")</f>
        <v>0</v>
      </c>
      <c r="F9" s="298"/>
      <c r="H9" s="148">
        <f>SUMIF(H10:H1010,"&gt;0")</f>
        <v>0</v>
      </c>
      <c r="I9" s="148">
        <f>SUMIF(I10:I1010,"&gt;0")</f>
        <v>0</v>
      </c>
    </row>
    <row r="10" spans="1:9" x14ac:dyDescent="0.25">
      <c r="A10" s="37">
        <v>1</v>
      </c>
      <c r="B10" s="7"/>
      <c r="C10" s="7"/>
      <c r="D10" s="220"/>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2" t="str">
        <f t="shared" ref="H10:H73" si="3">IF(OR($B10="",,,,$D10&lt;an_initial,$D10&gt;an_final,),"",HLOOKUP(C10,ii89punctaje,2,FALSE)*COUNTIF(C10,$H$7))</f>
        <v/>
      </c>
      <c r="I10" s="382" t="str">
        <f t="shared" ref="I10:I73" si="4">IF(OR($B10="",,,,$D10&lt;an_initial,$D10&gt;an_final,),"",HLOOKUP(C10,ii89punctaje,2,FALSE)*COUNTIF(C10,$I$7))</f>
        <v/>
      </c>
    </row>
    <row r="11" spans="1:9" x14ac:dyDescent="0.25">
      <c r="A11" s="37">
        <v>2</v>
      </c>
      <c r="B11" s="7"/>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topLeftCell="A7" zoomScale="85" zoomScaleNormal="85" workbookViewId="0">
      <selection activeCell="U17" sqref="U17"/>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9"/>
      <c r="I1" s="63"/>
      <c r="J1" s="63"/>
      <c r="K1" s="63"/>
      <c r="L1" s="63"/>
      <c r="M1" s="63"/>
      <c r="N1" s="63"/>
    </row>
    <row r="2" spans="1:14" s="60" customFormat="1" x14ac:dyDescent="0.2">
      <c r="A2" s="346" t="str">
        <f>IF(ISBLANK(facultate), IF(ISBLANK(departament),"","Departament " &amp; departament), "Facultatea " &amp; facultate)</f>
        <v>Facultatea Mecanică</v>
      </c>
      <c r="E2" s="61"/>
      <c r="F2" s="63"/>
      <c r="G2" s="289"/>
      <c r="I2" s="63"/>
      <c r="J2" s="63"/>
      <c r="K2" s="63"/>
      <c r="L2" s="63"/>
      <c r="M2" s="63"/>
      <c r="N2" s="63"/>
    </row>
    <row r="3" spans="1:14" s="60" customFormat="1" x14ac:dyDescent="0.2">
      <c r="A3" s="346" t="str">
        <f>IF(ISBLANK(departament),"","Departamentul " &amp; departament)</f>
        <v>Departamentul Ingineria Materialelor și Fabricației</v>
      </c>
      <c r="E3" s="61"/>
      <c r="F3" s="63"/>
      <c r="G3" s="289"/>
      <c r="I3" s="63"/>
      <c r="J3" s="63"/>
      <c r="K3" s="63"/>
      <c r="L3" s="63"/>
      <c r="M3" s="63"/>
      <c r="N3" s="63"/>
    </row>
    <row r="4" spans="1:14" x14ac:dyDescent="0.25">
      <c r="A4" s="535" t="s">
        <v>903</v>
      </c>
      <c r="B4" s="535"/>
      <c r="C4" s="535"/>
      <c r="D4" s="535"/>
      <c r="E4" s="535"/>
      <c r="F4" s="535"/>
      <c r="G4" s="291"/>
    </row>
    <row r="5" spans="1:14" x14ac:dyDescent="0.25">
      <c r="A5" s="535" t="s">
        <v>978</v>
      </c>
      <c r="B5" s="535"/>
      <c r="C5" s="535"/>
      <c r="D5" s="535"/>
      <c r="E5" s="535"/>
      <c r="F5" s="535"/>
    </row>
    <row r="6" spans="1:14" ht="13.5" customHeight="1" x14ac:dyDescent="0.25">
      <c r="E6" s="64"/>
      <c r="F6" s="347" t="str">
        <f>CONCATENATE(functie," ",nume_candidat)</f>
        <v>Conferențiar Codrean Cosmin</v>
      </c>
      <c r="I6" s="347"/>
      <c r="J6" s="347"/>
      <c r="K6" s="347"/>
      <c r="L6" s="347"/>
      <c r="M6" s="347"/>
      <c r="N6" s="347"/>
    </row>
    <row r="7" spans="1:14" ht="18.75" customHeight="1" x14ac:dyDescent="0.25">
      <c r="A7" s="532" t="s">
        <v>338</v>
      </c>
      <c r="B7" s="532" t="s">
        <v>1042</v>
      </c>
      <c r="C7" s="532" t="s">
        <v>979</v>
      </c>
      <c r="D7" s="532" t="s">
        <v>460</v>
      </c>
      <c r="E7" s="538" t="s">
        <v>2</v>
      </c>
      <c r="F7" s="594" t="s">
        <v>544</v>
      </c>
      <c r="G7" s="539" t="s">
        <v>541</v>
      </c>
      <c r="H7" s="540" t="s">
        <v>551</v>
      </c>
      <c r="I7" s="533" t="s">
        <v>982</v>
      </c>
      <c r="J7" s="533" t="s">
        <v>983</v>
      </c>
      <c r="K7" s="533" t="s">
        <v>984</v>
      </c>
      <c r="L7" s="533" t="s">
        <v>985</v>
      </c>
      <c r="M7" s="533" t="s">
        <v>986</v>
      </c>
      <c r="N7" s="533" t="s">
        <v>987</v>
      </c>
    </row>
    <row r="8" spans="1:14" ht="46.5" customHeight="1" x14ac:dyDescent="0.25">
      <c r="A8" s="532"/>
      <c r="B8" s="532"/>
      <c r="C8" s="532"/>
      <c r="D8" s="532"/>
      <c r="E8" s="538"/>
      <c r="F8" s="595"/>
      <c r="G8" s="539"/>
      <c r="H8" s="540"/>
      <c r="I8" s="534"/>
      <c r="J8" s="534"/>
      <c r="K8" s="534"/>
      <c r="L8" s="534"/>
      <c r="M8" s="534"/>
      <c r="N8" s="534"/>
    </row>
    <row r="9" spans="1:14" x14ac:dyDescent="0.25">
      <c r="A9" s="88"/>
      <c r="B9" s="65"/>
      <c r="C9" s="65"/>
      <c r="D9" s="65"/>
      <c r="E9" s="30"/>
      <c r="F9" s="148">
        <f>SUMIF(F10:F1010,"&gt;0")</f>
        <v>89</v>
      </c>
      <c r="G9" s="298"/>
      <c r="I9" s="148">
        <f t="shared" ref="I9:N9" si="0">SUMIF(I10:I1108,"&gt;0")</f>
        <v>60</v>
      </c>
      <c r="J9" s="148">
        <f t="shared" si="0"/>
        <v>0</v>
      </c>
      <c r="K9" s="148">
        <f t="shared" si="0"/>
        <v>0</v>
      </c>
      <c r="L9" s="148">
        <f t="shared" si="0"/>
        <v>10</v>
      </c>
      <c r="M9" s="148">
        <f t="shared" si="0"/>
        <v>15</v>
      </c>
      <c r="N9" s="148">
        <f t="shared" si="0"/>
        <v>4</v>
      </c>
    </row>
    <row r="10" spans="1:14" x14ac:dyDescent="0.25">
      <c r="A10" s="37">
        <v>1</v>
      </c>
      <c r="B10" s="7" t="s">
        <v>1397</v>
      </c>
      <c r="C10" s="216">
        <v>2</v>
      </c>
      <c r="D10" s="7" t="s">
        <v>982</v>
      </c>
      <c r="E10" s="220">
        <v>2019</v>
      </c>
      <c r="F10" s="16">
        <f t="shared" ref="F10:F73" si="1">IF(OR($B10="",$C10="",,,$E10&lt;an_initial,$E10&gt;an_final,),"",HLOOKUP(D10,ii9punctaje,2,FALSE) * C10)</f>
        <v>20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20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ht="31.5" x14ac:dyDescent="0.25">
      <c r="A11" s="37">
        <v>2</v>
      </c>
      <c r="B11" s="7" t="s">
        <v>1398</v>
      </c>
      <c r="C11" s="216">
        <v>2</v>
      </c>
      <c r="D11" s="7" t="s">
        <v>987</v>
      </c>
      <c r="E11" s="220">
        <v>2019</v>
      </c>
      <c r="F11" s="16">
        <f t="shared" si="1"/>
        <v>4</v>
      </c>
      <c r="G11" s="349" t="b">
        <f t="shared" si="2"/>
        <v>0</v>
      </c>
      <c r="H11" s="350">
        <f t="shared" si="3"/>
        <v>1</v>
      </c>
      <c r="I11" s="382">
        <f t="shared" si="4"/>
        <v>0</v>
      </c>
      <c r="J11" s="382">
        <f t="shared" si="5"/>
        <v>0</v>
      </c>
      <c r="K11" s="382">
        <f t="shared" si="6"/>
        <v>0</v>
      </c>
      <c r="L11" s="382">
        <f t="shared" si="7"/>
        <v>0</v>
      </c>
      <c r="M11" s="382">
        <f t="shared" si="8"/>
        <v>0</v>
      </c>
      <c r="N11" s="382">
        <f t="shared" si="9"/>
        <v>4</v>
      </c>
    </row>
    <row r="12" spans="1:14" x14ac:dyDescent="0.25">
      <c r="A12" s="37">
        <v>3</v>
      </c>
      <c r="B12" s="380" t="s">
        <v>1399</v>
      </c>
      <c r="C12" s="507">
        <v>1</v>
      </c>
      <c r="D12" s="380" t="s">
        <v>982</v>
      </c>
      <c r="E12" s="509">
        <v>2018</v>
      </c>
      <c r="F12" s="16">
        <f t="shared" si="1"/>
        <v>10</v>
      </c>
      <c r="G12" s="349" t="b">
        <f t="shared" si="2"/>
        <v>0</v>
      </c>
      <c r="H12" s="350">
        <f t="shared" si="3"/>
        <v>1</v>
      </c>
      <c r="I12" s="382">
        <f t="shared" si="4"/>
        <v>10</v>
      </c>
      <c r="J12" s="382">
        <f t="shared" si="5"/>
        <v>0</v>
      </c>
      <c r="K12" s="382">
        <f t="shared" si="6"/>
        <v>0</v>
      </c>
      <c r="L12" s="382">
        <f t="shared" si="7"/>
        <v>0</v>
      </c>
      <c r="M12" s="382">
        <f t="shared" si="8"/>
        <v>0</v>
      </c>
      <c r="N12" s="382">
        <f t="shared" si="9"/>
        <v>0</v>
      </c>
    </row>
    <row r="13" spans="1:14" ht="47.25" x14ac:dyDescent="0.25">
      <c r="A13" s="37">
        <v>4</v>
      </c>
      <c r="B13" s="380" t="s">
        <v>1400</v>
      </c>
      <c r="C13" s="507">
        <v>2</v>
      </c>
      <c r="D13" s="380" t="s">
        <v>985</v>
      </c>
      <c r="E13" s="509">
        <v>2018</v>
      </c>
      <c r="F13" s="16">
        <f t="shared" si="1"/>
        <v>10</v>
      </c>
      <c r="G13" s="349" t="b">
        <f t="shared" si="2"/>
        <v>0</v>
      </c>
      <c r="H13" s="350">
        <f t="shared" si="3"/>
        <v>2</v>
      </c>
      <c r="I13" s="382">
        <f t="shared" si="4"/>
        <v>0</v>
      </c>
      <c r="J13" s="382">
        <f t="shared" si="5"/>
        <v>0</v>
      </c>
      <c r="K13" s="382">
        <f t="shared" si="6"/>
        <v>0</v>
      </c>
      <c r="L13" s="382">
        <f t="shared" si="7"/>
        <v>10</v>
      </c>
      <c r="M13" s="382">
        <f t="shared" si="8"/>
        <v>0</v>
      </c>
      <c r="N13" s="382">
        <f t="shared" si="9"/>
        <v>0</v>
      </c>
    </row>
    <row r="14" spans="1:14" ht="31.5" x14ac:dyDescent="0.25">
      <c r="A14" s="37">
        <v>5</v>
      </c>
      <c r="B14" s="380" t="s">
        <v>1401</v>
      </c>
      <c r="C14" s="507">
        <v>1</v>
      </c>
      <c r="D14" s="380" t="s">
        <v>986</v>
      </c>
      <c r="E14" s="509">
        <v>2018</v>
      </c>
      <c r="F14" s="16">
        <f t="shared" si="1"/>
        <v>3</v>
      </c>
      <c r="G14" s="349" t="b">
        <f t="shared" si="2"/>
        <v>0</v>
      </c>
      <c r="H14" s="350">
        <f t="shared" si="3"/>
        <v>2</v>
      </c>
      <c r="I14" s="382">
        <f t="shared" si="4"/>
        <v>0</v>
      </c>
      <c r="J14" s="382">
        <f t="shared" si="5"/>
        <v>0</v>
      </c>
      <c r="K14" s="382">
        <f t="shared" si="6"/>
        <v>0</v>
      </c>
      <c r="L14" s="382">
        <f t="shared" si="7"/>
        <v>0</v>
      </c>
      <c r="M14" s="382">
        <f t="shared" si="8"/>
        <v>3</v>
      </c>
      <c r="N14" s="382">
        <f t="shared" si="9"/>
        <v>0</v>
      </c>
    </row>
    <row r="15" spans="1:14" ht="47.25" x14ac:dyDescent="0.25">
      <c r="A15" s="37">
        <v>6</v>
      </c>
      <c r="B15" s="6" t="s">
        <v>1402</v>
      </c>
      <c r="C15" s="507">
        <v>2</v>
      </c>
      <c r="D15" s="6" t="s">
        <v>986</v>
      </c>
      <c r="E15" s="507">
        <v>2017</v>
      </c>
      <c r="F15" s="16">
        <f t="shared" si="1"/>
        <v>6</v>
      </c>
      <c r="G15" s="349" t="b">
        <f t="shared" si="2"/>
        <v>0</v>
      </c>
      <c r="H15" s="350">
        <f t="shared" si="3"/>
        <v>2</v>
      </c>
      <c r="I15" s="382">
        <f t="shared" si="4"/>
        <v>0</v>
      </c>
      <c r="J15" s="382">
        <f t="shared" si="5"/>
        <v>0</v>
      </c>
      <c r="K15" s="382">
        <f t="shared" si="6"/>
        <v>0</v>
      </c>
      <c r="L15" s="382">
        <f t="shared" si="7"/>
        <v>0</v>
      </c>
      <c r="M15" s="382">
        <f t="shared" si="8"/>
        <v>6</v>
      </c>
      <c r="N15" s="382">
        <f t="shared" si="9"/>
        <v>0</v>
      </c>
    </row>
    <row r="16" spans="1:14" ht="31.5" x14ac:dyDescent="0.25">
      <c r="A16" s="37">
        <v>7</v>
      </c>
      <c r="B16" s="6" t="s">
        <v>1403</v>
      </c>
      <c r="C16" s="507">
        <v>1</v>
      </c>
      <c r="D16" s="6" t="s">
        <v>982</v>
      </c>
      <c r="E16" s="507">
        <v>2017</v>
      </c>
      <c r="F16" s="16">
        <f t="shared" si="1"/>
        <v>10</v>
      </c>
      <c r="G16" s="349" t="b">
        <f t="shared" si="2"/>
        <v>0</v>
      </c>
      <c r="H16" s="350">
        <f t="shared" si="3"/>
        <v>1</v>
      </c>
      <c r="I16" s="382">
        <f t="shared" si="4"/>
        <v>10</v>
      </c>
      <c r="J16" s="382">
        <f t="shared" si="5"/>
        <v>0</v>
      </c>
      <c r="K16" s="382">
        <f t="shared" si="6"/>
        <v>0</v>
      </c>
      <c r="L16" s="382">
        <f t="shared" si="7"/>
        <v>0</v>
      </c>
      <c r="M16" s="382">
        <f t="shared" si="8"/>
        <v>0</v>
      </c>
      <c r="N16" s="382">
        <f t="shared" si="9"/>
        <v>0</v>
      </c>
    </row>
    <row r="17" spans="1:14" ht="47.25" x14ac:dyDescent="0.25">
      <c r="A17" s="37">
        <v>8</v>
      </c>
      <c r="B17" s="6" t="s">
        <v>1404</v>
      </c>
      <c r="C17" s="507">
        <v>2</v>
      </c>
      <c r="D17" s="6" t="s">
        <v>986</v>
      </c>
      <c r="E17" s="507">
        <v>2016</v>
      </c>
      <c r="F17" s="16">
        <f t="shared" si="1"/>
        <v>6</v>
      </c>
      <c r="G17" s="349" t="b">
        <f t="shared" si="2"/>
        <v>0</v>
      </c>
      <c r="H17" s="350">
        <f t="shared" si="3"/>
        <v>2</v>
      </c>
      <c r="I17" s="382">
        <f t="shared" si="4"/>
        <v>0</v>
      </c>
      <c r="J17" s="382">
        <f t="shared" si="5"/>
        <v>0</v>
      </c>
      <c r="K17" s="382">
        <f t="shared" si="6"/>
        <v>0</v>
      </c>
      <c r="L17" s="382">
        <f t="shared" si="7"/>
        <v>0</v>
      </c>
      <c r="M17" s="382">
        <f t="shared" si="8"/>
        <v>6</v>
      </c>
      <c r="N17" s="382">
        <f t="shared" si="9"/>
        <v>0</v>
      </c>
    </row>
    <row r="18" spans="1:14" ht="31.5" x14ac:dyDescent="0.25">
      <c r="A18" s="37">
        <v>9</v>
      </c>
      <c r="B18" s="6" t="s">
        <v>1403</v>
      </c>
      <c r="C18" s="507">
        <v>1</v>
      </c>
      <c r="D18" s="6" t="s">
        <v>982</v>
      </c>
      <c r="E18" s="507">
        <v>2015</v>
      </c>
      <c r="F18" s="16">
        <f t="shared" si="1"/>
        <v>10</v>
      </c>
      <c r="G18" s="349" t="b">
        <f t="shared" si="2"/>
        <v>0</v>
      </c>
      <c r="H18" s="350">
        <f t="shared" si="3"/>
        <v>1</v>
      </c>
      <c r="I18" s="382">
        <f t="shared" si="4"/>
        <v>10</v>
      </c>
      <c r="J18" s="382">
        <f t="shared" si="5"/>
        <v>0</v>
      </c>
      <c r="K18" s="382">
        <f t="shared" si="6"/>
        <v>0</v>
      </c>
      <c r="L18" s="382">
        <f t="shared" si="7"/>
        <v>0</v>
      </c>
      <c r="M18" s="382">
        <f t="shared" si="8"/>
        <v>0</v>
      </c>
      <c r="N18" s="382">
        <f t="shared" si="9"/>
        <v>0</v>
      </c>
    </row>
    <row r="19" spans="1:14" x14ac:dyDescent="0.25">
      <c r="A19" s="37">
        <v>10</v>
      </c>
      <c r="B19" s="6" t="s">
        <v>1405</v>
      </c>
      <c r="C19" s="507">
        <v>1</v>
      </c>
      <c r="D19" s="6" t="s">
        <v>982</v>
      </c>
      <c r="E19" s="507">
        <v>2015</v>
      </c>
      <c r="F19" s="16">
        <f t="shared" si="1"/>
        <v>10</v>
      </c>
      <c r="G19" s="349" t="b">
        <f t="shared" si="2"/>
        <v>0</v>
      </c>
      <c r="H19" s="350">
        <f t="shared" si="3"/>
        <v>1</v>
      </c>
      <c r="I19" s="382">
        <f t="shared" si="4"/>
        <v>10</v>
      </c>
      <c r="J19" s="382">
        <f t="shared" si="5"/>
        <v>0</v>
      </c>
      <c r="K19" s="382">
        <f t="shared" si="6"/>
        <v>0</v>
      </c>
      <c r="L19" s="382">
        <f t="shared" si="7"/>
        <v>0</v>
      </c>
      <c r="M19" s="382">
        <f t="shared" si="8"/>
        <v>0</v>
      </c>
      <c r="N19" s="382">
        <f t="shared" si="9"/>
        <v>0</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M12" sqref="M12"/>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9"/>
      <c r="H1" s="63"/>
      <c r="I1" s="63"/>
      <c r="J1" s="63"/>
    </row>
    <row r="2" spans="1:10" s="60" customFormat="1" x14ac:dyDescent="0.2">
      <c r="A2" s="346" t="str">
        <f>IF(ISBLANK(facultate), IF(ISBLANK(departament),"","Departament " &amp; departament), "Facultatea " &amp; facultate)</f>
        <v>Facultatea Mecanică</v>
      </c>
      <c r="D2" s="61"/>
      <c r="E2" s="63"/>
      <c r="F2" s="289"/>
      <c r="H2" s="63"/>
      <c r="I2" s="63"/>
      <c r="J2" s="63"/>
    </row>
    <row r="3" spans="1:10" s="60" customFormat="1" x14ac:dyDescent="0.2">
      <c r="A3" s="346" t="str">
        <f>IF(ISBLANK(departament),"","Departamentul " &amp; departament)</f>
        <v>Departamentul Ingineria Materialelor și Fabricației</v>
      </c>
      <c r="D3" s="61"/>
      <c r="E3" s="63"/>
      <c r="F3" s="289"/>
      <c r="H3" s="63"/>
      <c r="I3" s="63"/>
      <c r="J3" s="63"/>
    </row>
    <row r="4" spans="1:10" x14ac:dyDescent="0.25">
      <c r="A4" s="535" t="s">
        <v>903</v>
      </c>
      <c r="B4" s="535"/>
      <c r="C4" s="535"/>
      <c r="D4" s="535"/>
      <c r="E4" s="535"/>
      <c r="F4" s="291"/>
    </row>
    <row r="5" spans="1:10" x14ac:dyDescent="0.25">
      <c r="A5" s="535" t="s">
        <v>1003</v>
      </c>
      <c r="B5" s="535"/>
      <c r="C5" s="535"/>
      <c r="D5" s="535"/>
      <c r="E5" s="535"/>
    </row>
    <row r="6" spans="1:10" ht="13.5" customHeight="1" x14ac:dyDescent="0.25">
      <c r="D6" s="64"/>
      <c r="E6" s="347" t="str">
        <f>CONCATENATE(functie," ",nume_candidat)</f>
        <v>Conferențiar Codrean Cosmin</v>
      </c>
      <c r="H6" s="347"/>
      <c r="I6" s="347"/>
      <c r="J6" s="347"/>
    </row>
    <row r="7" spans="1:10" ht="18.75" customHeight="1" x14ac:dyDescent="0.25">
      <c r="A7" s="532" t="s">
        <v>338</v>
      </c>
      <c r="B7" s="532" t="s">
        <v>1041</v>
      </c>
      <c r="C7" s="532" t="s">
        <v>814</v>
      </c>
      <c r="D7" s="538" t="s">
        <v>2</v>
      </c>
      <c r="E7" s="594" t="s">
        <v>544</v>
      </c>
      <c r="F7" s="539" t="s">
        <v>541</v>
      </c>
      <c r="G7" s="540" t="s">
        <v>551</v>
      </c>
      <c r="H7" s="605" t="s">
        <v>1229</v>
      </c>
      <c r="I7" s="607" t="s">
        <v>1230</v>
      </c>
      <c r="J7" s="607" t="s">
        <v>1231</v>
      </c>
    </row>
    <row r="8" spans="1:10" ht="46.5" customHeight="1" x14ac:dyDescent="0.25">
      <c r="A8" s="532"/>
      <c r="B8" s="532"/>
      <c r="C8" s="532"/>
      <c r="D8" s="538"/>
      <c r="E8" s="595"/>
      <c r="F8" s="539"/>
      <c r="G8" s="540"/>
      <c r="H8" s="606"/>
      <c r="I8" s="606"/>
      <c r="J8" s="606"/>
    </row>
    <row r="9" spans="1:10" x14ac:dyDescent="0.25">
      <c r="A9" s="88"/>
      <c r="B9" s="65"/>
      <c r="C9" s="65"/>
      <c r="D9" s="30"/>
      <c r="E9" s="148">
        <f>SUMIF(E10:E1010,"&gt;0")</f>
        <v>50</v>
      </c>
      <c r="F9" s="298"/>
      <c r="H9" s="148">
        <f>E9-I9-J9</f>
        <v>0</v>
      </c>
      <c r="I9" s="148">
        <f>SUMIF(I10:I1108,"&gt;0")</f>
        <v>50</v>
      </c>
      <c r="J9" s="148">
        <f>SUMIF(J10:J1108,"&gt;0")</f>
        <v>0</v>
      </c>
    </row>
    <row r="10" spans="1:10" ht="47.25" x14ac:dyDescent="0.25">
      <c r="A10" s="37">
        <v>1</v>
      </c>
      <c r="B10" s="7" t="s">
        <v>1406</v>
      </c>
      <c r="C10" s="7" t="s">
        <v>997</v>
      </c>
      <c r="D10" s="220">
        <v>2018</v>
      </c>
      <c r="E10" s="16">
        <f t="shared" ref="E10:E73" si="0">IF(OR($B10="",,,,$D10&lt;an_initial,$D10&gt;an_final,),"",HLOOKUP(C10,ii10punctaje,2,FALSE) )</f>
        <v>25</v>
      </c>
      <c r="F10" s="349" t="b">
        <f t="shared" ref="F10:F73" si="1">IF(nume_candidat="",FALSE,ISNUMBER(SEARCH(nume_candidat,$B10)))</f>
        <v>0</v>
      </c>
      <c r="G10" s="350">
        <f t="shared" ref="G10:G73" si="2">LEN(B10)-LEN(SUBSTITUTE(B10,",",""))+1</f>
        <v>5</v>
      </c>
      <c r="H10" s="382"/>
      <c r="I10" s="382">
        <f t="shared" ref="I10:I73" si="3">IF(OR($B10="",,,,$D10&lt;an_initial,$D10&gt;an_final,),"",HLOOKUP(C10,ii10punctaje,2,FALSE)*COUNTIF(C10,$I$7))</f>
        <v>25</v>
      </c>
      <c r="J10" s="382">
        <f t="shared" ref="J10:J73" si="4">IF(OR($B10="",,,,$D10&lt;an_initial,$D10&gt;an_final,),"",HLOOKUP(C10,ii10punctaje,2,FALSE)*COUNTIF(C10,$J$7))</f>
        <v>0</v>
      </c>
    </row>
    <row r="11" spans="1:10" ht="47.25" x14ac:dyDescent="0.25">
      <c r="A11" s="37">
        <v>2</v>
      </c>
      <c r="B11" s="7" t="s">
        <v>1407</v>
      </c>
      <c r="C11" s="7" t="s">
        <v>997</v>
      </c>
      <c r="D11" s="220">
        <v>2015</v>
      </c>
      <c r="E11" s="16">
        <f t="shared" si="0"/>
        <v>25</v>
      </c>
      <c r="F11" s="349" t="b">
        <f t="shared" si="1"/>
        <v>0</v>
      </c>
      <c r="G11" s="350">
        <f t="shared" si="2"/>
        <v>2</v>
      </c>
      <c r="H11" s="382"/>
      <c r="I11" s="382">
        <f t="shared" si="3"/>
        <v>25</v>
      </c>
      <c r="J11" s="382">
        <f t="shared" si="4"/>
        <v>0</v>
      </c>
    </row>
    <row r="12" spans="1:10" x14ac:dyDescent="0.25">
      <c r="A12" s="37">
        <v>3</v>
      </c>
      <c r="B12" s="7"/>
      <c r="C12" s="7"/>
      <c r="D12" s="220"/>
      <c r="E12" s="16" t="str">
        <f t="shared" si="0"/>
        <v/>
      </c>
      <c r="F12" s="349" t="b">
        <f t="shared" si="1"/>
        <v>0</v>
      </c>
      <c r="G12" s="350">
        <f t="shared" si="2"/>
        <v>1</v>
      </c>
      <c r="H12" s="382"/>
      <c r="I12" s="382" t="str">
        <f t="shared" si="3"/>
        <v/>
      </c>
      <c r="J12" s="382" t="str">
        <f t="shared" si="4"/>
        <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N20" sqref="N20"/>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9"/>
    </row>
    <row r="2" spans="1:7" s="60" customFormat="1" x14ac:dyDescent="0.2">
      <c r="A2" s="346" t="str">
        <f>IF(ISBLANK(facultate), IF(ISBLANK(departament),"","Departament " &amp; departament), "Facultatea " &amp; facultate)</f>
        <v>Facultatea Mecanică</v>
      </c>
      <c r="D2" s="61"/>
      <c r="E2" s="63"/>
      <c r="F2" s="289"/>
    </row>
    <row r="3" spans="1:7" s="60" customFormat="1" x14ac:dyDescent="0.2">
      <c r="A3" s="346" t="str">
        <f>IF(ISBLANK(departament),"","Departamentul " &amp; departament)</f>
        <v>Departamentul Ingineria Materialelor și Fabricației</v>
      </c>
      <c r="D3" s="61"/>
      <c r="E3" s="63"/>
      <c r="F3" s="289"/>
    </row>
    <row r="4" spans="1:7" x14ac:dyDescent="0.25">
      <c r="A4" s="535" t="s">
        <v>903</v>
      </c>
      <c r="B4" s="535"/>
      <c r="C4" s="535"/>
      <c r="D4" s="535"/>
      <c r="E4" s="535"/>
      <c r="F4" s="291"/>
    </row>
    <row r="5" spans="1:7" x14ac:dyDescent="0.25">
      <c r="A5" s="535" t="s">
        <v>1004</v>
      </c>
      <c r="B5" s="535"/>
      <c r="C5" s="535"/>
      <c r="D5" s="535"/>
      <c r="E5" s="535"/>
    </row>
    <row r="6" spans="1:7" ht="13.5" customHeight="1" x14ac:dyDescent="0.25">
      <c r="D6" s="64"/>
      <c r="E6" s="347" t="str">
        <f>CONCATENATE(functie," ",nume_candidat)</f>
        <v>Conferențiar Codrean Cosmin</v>
      </c>
    </row>
    <row r="7" spans="1:7" ht="18.75" customHeight="1" x14ac:dyDescent="0.25">
      <c r="A7" s="532" t="s">
        <v>338</v>
      </c>
      <c r="B7" s="532" t="s">
        <v>1041</v>
      </c>
      <c r="C7" s="532" t="s">
        <v>460</v>
      </c>
      <c r="D7" s="538" t="s">
        <v>2</v>
      </c>
      <c r="E7" s="594" t="s">
        <v>544</v>
      </c>
      <c r="F7" s="539" t="s">
        <v>541</v>
      </c>
      <c r="G7" s="540" t="s">
        <v>551</v>
      </c>
    </row>
    <row r="8" spans="1:7" ht="46.5" customHeight="1" x14ac:dyDescent="0.25">
      <c r="A8" s="532"/>
      <c r="B8" s="532"/>
      <c r="C8" s="532"/>
      <c r="D8" s="538"/>
      <c r="E8" s="595"/>
      <c r="F8" s="539"/>
      <c r="G8" s="540"/>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Q21" sqref="Q21"/>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Ingineria Materialelor și Fabricației</v>
      </c>
      <c r="D3" s="61"/>
      <c r="E3" s="63"/>
      <c r="F3" s="289"/>
      <c r="H3" s="63"/>
      <c r="I3" s="63"/>
    </row>
    <row r="4" spans="1:9" x14ac:dyDescent="0.25">
      <c r="A4" s="535" t="s">
        <v>903</v>
      </c>
      <c r="B4" s="535"/>
      <c r="C4" s="535"/>
      <c r="D4" s="535"/>
      <c r="E4" s="535"/>
      <c r="F4" s="291"/>
    </row>
    <row r="5" spans="1:9" x14ac:dyDescent="0.25">
      <c r="A5" s="535" t="s">
        <v>1007</v>
      </c>
      <c r="B5" s="535"/>
      <c r="C5" s="535"/>
      <c r="D5" s="535"/>
      <c r="E5" s="535"/>
    </row>
    <row r="6" spans="1:9" ht="13.5" customHeight="1" x14ac:dyDescent="0.25">
      <c r="D6" s="64"/>
      <c r="E6" s="347" t="str">
        <f>CONCATENATE(functie," ",nume_candidat)</f>
        <v>Conferențiar Codrean Cosmin</v>
      </c>
      <c r="H6" s="347" t="str">
        <f>CONCATENATE(functie," ",nume_candidat)</f>
        <v>Conferențiar Codrean Cosmin</v>
      </c>
      <c r="I6" s="347" t="str">
        <f>CONCATENATE(functie," ",nume_candidat)</f>
        <v>Conferențiar Codrean Cosmin</v>
      </c>
    </row>
    <row r="7" spans="1:9" ht="18.75" customHeight="1" x14ac:dyDescent="0.25">
      <c r="A7" s="532" t="s">
        <v>338</v>
      </c>
      <c r="B7" s="532" t="s">
        <v>1055</v>
      </c>
      <c r="C7" s="532" t="s">
        <v>460</v>
      </c>
      <c r="D7" s="538" t="s">
        <v>2</v>
      </c>
      <c r="E7" s="594" t="s">
        <v>544</v>
      </c>
      <c r="F7" s="539" t="s">
        <v>541</v>
      </c>
      <c r="G7" s="540" t="s">
        <v>551</v>
      </c>
      <c r="H7" s="594" t="s">
        <v>1010</v>
      </c>
      <c r="I7" s="594" t="s">
        <v>1009</v>
      </c>
    </row>
    <row r="8" spans="1:9" ht="46.5" customHeight="1" x14ac:dyDescent="0.25">
      <c r="A8" s="532"/>
      <c r="B8" s="532"/>
      <c r="C8" s="532"/>
      <c r="D8" s="538"/>
      <c r="E8" s="595"/>
      <c r="F8" s="539"/>
      <c r="G8" s="540"/>
      <c r="H8" s="595"/>
      <c r="I8" s="595"/>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O16" sqref="N16:O17"/>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346" t="str">
        <f>IF(ISBLANK(facultate), IF(ISBLANK(departament),"","Departament " &amp; departament), "Facultatea " &amp; facultate)</f>
        <v>Facultatea Mecanică</v>
      </c>
      <c r="C2" s="61"/>
      <c r="D2" s="63"/>
      <c r="E2" s="289"/>
    </row>
    <row r="3" spans="1:6" s="60" customFormat="1" x14ac:dyDescent="0.2">
      <c r="A3" s="346" t="str">
        <f>IF(ISBLANK(departament),"","Departamentul " &amp; departament)</f>
        <v>Departamentul Ingineria Materialelor și Fabricației</v>
      </c>
      <c r="C3" s="61"/>
      <c r="D3" s="63"/>
      <c r="E3" s="289"/>
    </row>
    <row r="4" spans="1:6" x14ac:dyDescent="0.25">
      <c r="A4" s="535" t="s">
        <v>903</v>
      </c>
      <c r="B4" s="535"/>
      <c r="C4" s="535"/>
      <c r="D4" s="535"/>
      <c r="E4" s="291"/>
    </row>
    <row r="5" spans="1:6" x14ac:dyDescent="0.25">
      <c r="A5" s="535" t="s">
        <v>1011</v>
      </c>
      <c r="B5" s="535"/>
      <c r="C5" s="535"/>
      <c r="D5" s="535"/>
    </row>
    <row r="6" spans="1:6" ht="13.5" customHeight="1" x14ac:dyDescent="0.25">
      <c r="C6" s="64"/>
      <c r="D6" s="347" t="str">
        <f>CONCATENATE(functie," ",nume_candidat)</f>
        <v>Conferențiar Codrean Cosmin</v>
      </c>
    </row>
    <row r="7" spans="1:6" ht="18.75" customHeight="1" x14ac:dyDescent="0.25">
      <c r="A7" s="532" t="s">
        <v>338</v>
      </c>
      <c r="B7" s="532" t="s">
        <v>1040</v>
      </c>
      <c r="C7" s="538" t="s">
        <v>2</v>
      </c>
      <c r="D7" s="594" t="s">
        <v>544</v>
      </c>
      <c r="E7" s="539" t="s">
        <v>541</v>
      </c>
      <c r="F7" s="540" t="s">
        <v>551</v>
      </c>
    </row>
    <row r="8" spans="1:6" ht="46.5" customHeight="1" x14ac:dyDescent="0.25">
      <c r="A8" s="532"/>
      <c r="B8" s="532"/>
      <c r="C8" s="538"/>
      <c r="D8" s="595"/>
      <c r="E8" s="539"/>
      <c r="F8" s="540"/>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topLeftCell="A10" zoomScaleNormal="100" workbookViewId="0">
      <selection activeCell="P19" sqref="P19"/>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2"/>
      <c r="E1" s="61"/>
      <c r="F1" s="63"/>
      <c r="G1" s="62"/>
      <c r="H1" s="289"/>
      <c r="J1" s="63"/>
      <c r="K1" s="63"/>
      <c r="L1" s="63"/>
    </row>
    <row r="2" spans="1:12" s="60" customFormat="1" x14ac:dyDescent="0.2">
      <c r="A2" s="346" t="str">
        <f>IF(ISBLANK(facultate), IF(ISBLANK(departament),"","Departament " &amp; departament), "Facultatea " &amp; facultate)</f>
        <v>Facultatea Mecanică</v>
      </c>
      <c r="B2" s="332"/>
      <c r="E2" s="61"/>
      <c r="F2" s="63"/>
      <c r="G2" s="62"/>
      <c r="H2" s="289"/>
      <c r="J2" s="63"/>
      <c r="K2" s="63"/>
      <c r="L2" s="63"/>
    </row>
    <row r="3" spans="1:12" s="60" customFormat="1" x14ac:dyDescent="0.2">
      <c r="A3" s="346" t="str">
        <f>IF(ISBLANK(departament),"","Departamentul " &amp; departament)</f>
        <v>Departamentul Ingineria Materialelor și Fabricației</v>
      </c>
      <c r="B3" s="332"/>
      <c r="E3" s="61"/>
      <c r="F3" s="63"/>
      <c r="G3" s="62"/>
      <c r="H3" s="289"/>
      <c r="J3" s="63"/>
      <c r="K3" s="63"/>
      <c r="L3" s="63"/>
    </row>
    <row r="4" spans="1:12" x14ac:dyDescent="0.25">
      <c r="A4" s="535" t="s">
        <v>836</v>
      </c>
      <c r="B4" s="535"/>
      <c r="C4" s="535"/>
      <c r="D4" s="535"/>
      <c r="E4" s="535"/>
      <c r="F4" s="535"/>
      <c r="G4" s="226"/>
      <c r="H4" s="291"/>
    </row>
    <row r="5" spans="1:12" x14ac:dyDescent="0.25">
      <c r="A5" s="535" t="s">
        <v>837</v>
      </c>
      <c r="B5" s="535"/>
      <c r="C5" s="535"/>
      <c r="D5" s="535"/>
      <c r="E5" s="535"/>
      <c r="F5" s="535"/>
      <c r="G5" s="226"/>
    </row>
    <row r="6" spans="1:12" ht="13.5" customHeight="1" x14ac:dyDescent="0.25">
      <c r="E6" s="64"/>
      <c r="F6" s="347" t="str">
        <f>CONCATENATE(functie," ",nume_candidat)</f>
        <v>Conferențiar Codrean Cosmin</v>
      </c>
      <c r="J6" s="347" t="str">
        <f>CONCATENATE(functie," ",nume_candidat)</f>
        <v>Conferențiar Codrean Cosmin</v>
      </c>
      <c r="K6" s="347" t="str">
        <f>CONCATENATE(functie," ",nume_candidat)</f>
        <v>Conferențiar Codrean Cosmin</v>
      </c>
      <c r="L6" s="347" t="str">
        <f>CONCATENATE(functie," ",nume_candidat)</f>
        <v>Conferențiar Codrean Cosmin</v>
      </c>
    </row>
    <row r="7" spans="1:12" ht="18.75" customHeight="1" x14ac:dyDescent="0.25">
      <c r="A7" s="533" t="s">
        <v>338</v>
      </c>
      <c r="B7" s="543" t="s">
        <v>1057</v>
      </c>
      <c r="C7" s="543" t="s">
        <v>1056</v>
      </c>
      <c r="D7" s="543" t="s">
        <v>843</v>
      </c>
      <c r="E7" s="543" t="s">
        <v>2</v>
      </c>
      <c r="F7" s="533" t="s">
        <v>544</v>
      </c>
      <c r="G7" s="533" t="s">
        <v>4</v>
      </c>
      <c r="H7" s="554" t="s">
        <v>541</v>
      </c>
      <c r="I7" s="540" t="s">
        <v>551</v>
      </c>
      <c r="J7" s="533" t="s">
        <v>839</v>
      </c>
      <c r="K7" s="533" t="s">
        <v>840</v>
      </c>
      <c r="L7" s="533" t="s">
        <v>841</v>
      </c>
    </row>
    <row r="8" spans="1:12" ht="18.75" customHeight="1" x14ac:dyDescent="0.25">
      <c r="A8" s="550"/>
      <c r="B8" s="544"/>
      <c r="C8" s="544"/>
      <c r="D8" s="544"/>
      <c r="E8" s="544"/>
      <c r="F8" s="550"/>
      <c r="G8" s="550"/>
      <c r="H8" s="555"/>
      <c r="I8" s="540"/>
      <c r="J8" s="550"/>
      <c r="K8" s="550"/>
      <c r="L8" s="550"/>
    </row>
    <row r="9" spans="1:12" ht="18.75" customHeight="1" x14ac:dyDescent="0.25">
      <c r="A9" s="550"/>
      <c r="B9" s="544"/>
      <c r="C9" s="544"/>
      <c r="D9" s="544"/>
      <c r="E9" s="544"/>
      <c r="F9" s="534"/>
      <c r="G9" s="534"/>
      <c r="H9" s="555"/>
      <c r="I9" s="540"/>
      <c r="J9" s="534"/>
      <c r="K9" s="534"/>
      <c r="L9" s="534"/>
    </row>
    <row r="10" spans="1:12" ht="18.75" customHeight="1" x14ac:dyDescent="0.25">
      <c r="A10" s="534"/>
      <c r="B10" s="545"/>
      <c r="C10" s="545"/>
      <c r="D10" s="545"/>
      <c r="E10" s="545"/>
      <c r="F10" s="348" t="str">
        <f>CONCATENATE("ultimii ",durata_evaluare," ani")</f>
        <v>ultimii 5 ani</v>
      </c>
      <c r="G10" s="348" t="str">
        <f>CONCATENATE("ultimii                                  ",durata_evaluare," ani")</f>
        <v>ultimii                                  5 ani</v>
      </c>
      <c r="H10" s="556"/>
      <c r="I10" s="540"/>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18</v>
      </c>
      <c r="G11" s="4">
        <f>SUMIF(G12:G1110,"&gt;0")</f>
        <v>9</v>
      </c>
      <c r="H11" s="298"/>
      <c r="J11" s="148">
        <f>SUMIF(J12:J1110,"&gt;0")</f>
        <v>0</v>
      </c>
      <c r="K11" s="148">
        <f>SUMIF(K12:K1110,"&gt;0")</f>
        <v>0</v>
      </c>
      <c r="L11" s="148">
        <f>SUMIF(L12:L1110,"&gt;0")</f>
        <v>18</v>
      </c>
    </row>
    <row r="12" spans="1:12" ht="31.5" x14ac:dyDescent="0.25">
      <c r="A12" s="37">
        <v>1</v>
      </c>
      <c r="B12" s="163" t="s">
        <v>1408</v>
      </c>
      <c r="C12" s="380" t="s">
        <v>1409</v>
      </c>
      <c r="D12" s="380" t="s">
        <v>841</v>
      </c>
      <c r="E12" s="509">
        <v>2015</v>
      </c>
      <c r="F12" s="16">
        <f t="shared" ref="F12:F75" si="0">IF(OR($C12="",$E12&lt;an_initial,$E12&gt;an_final),"",G12*(HLOOKUP(D12,iii1punctaje,2,FALSE)))</f>
        <v>2</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0</v>
      </c>
      <c r="K12" s="382">
        <f t="shared" ref="K12:K75" si="5">IF(OR($C12="",$E12&lt;an_initial,$E12&gt;an_final),"",G12*(HLOOKUP(D12,iii1punctaje,2,FALSE))*COUNTIF(D12,$K$7))</f>
        <v>0</v>
      </c>
      <c r="L12" s="382">
        <f t="shared" ref="L12:L75" si="6">IF(OR($C12="",$E12&lt;an_initial,$E12&gt;an_final),"",G12*(HLOOKUP(D12,iii1punctaje,2,FALSE))*COUNTIF(D12,$L$7))</f>
        <v>2</v>
      </c>
    </row>
    <row r="13" spans="1:12" ht="31.5" x14ac:dyDescent="0.25">
      <c r="A13" s="37">
        <v>2</v>
      </c>
      <c r="B13" s="163" t="s">
        <v>1408</v>
      </c>
      <c r="C13" s="380" t="s">
        <v>1409</v>
      </c>
      <c r="D13" s="380" t="s">
        <v>841</v>
      </c>
      <c r="E13" s="509">
        <v>2016</v>
      </c>
      <c r="F13" s="16">
        <f t="shared" si="0"/>
        <v>2</v>
      </c>
      <c r="G13" s="58">
        <f t="shared" si="1"/>
        <v>1</v>
      </c>
      <c r="H13" s="349" t="b">
        <f t="shared" si="2"/>
        <v>0</v>
      </c>
      <c r="I13" s="350">
        <f t="shared" si="3"/>
        <v>1</v>
      </c>
      <c r="J13" s="382">
        <f t="shared" si="4"/>
        <v>0</v>
      </c>
      <c r="K13" s="382">
        <f t="shared" si="5"/>
        <v>0</v>
      </c>
      <c r="L13" s="382">
        <f t="shared" si="6"/>
        <v>2</v>
      </c>
    </row>
    <row r="14" spans="1:12" ht="31.5" x14ac:dyDescent="0.25">
      <c r="A14" s="37">
        <v>3</v>
      </c>
      <c r="B14" s="163" t="s">
        <v>1410</v>
      </c>
      <c r="C14" s="6" t="s">
        <v>1411</v>
      </c>
      <c r="D14" s="6" t="s">
        <v>841</v>
      </c>
      <c r="E14" s="507">
        <v>2016</v>
      </c>
      <c r="F14" s="16">
        <f t="shared" si="0"/>
        <v>2</v>
      </c>
      <c r="G14" s="58">
        <f t="shared" si="1"/>
        <v>1</v>
      </c>
      <c r="H14" s="349" t="b">
        <f t="shared" si="2"/>
        <v>0</v>
      </c>
      <c r="I14" s="350">
        <f t="shared" si="3"/>
        <v>1</v>
      </c>
      <c r="J14" s="382">
        <f t="shared" si="4"/>
        <v>0</v>
      </c>
      <c r="K14" s="382">
        <f t="shared" si="5"/>
        <v>0</v>
      </c>
      <c r="L14" s="382">
        <f t="shared" si="6"/>
        <v>2</v>
      </c>
    </row>
    <row r="15" spans="1:12" ht="31.5" x14ac:dyDescent="0.25">
      <c r="A15" s="37">
        <v>4</v>
      </c>
      <c r="B15" s="163" t="s">
        <v>1410</v>
      </c>
      <c r="C15" s="6" t="s">
        <v>1411</v>
      </c>
      <c r="D15" s="6" t="s">
        <v>841</v>
      </c>
      <c r="E15" s="507">
        <v>2017</v>
      </c>
      <c r="F15" s="16">
        <f t="shared" si="0"/>
        <v>2</v>
      </c>
      <c r="G15" s="58">
        <f t="shared" si="1"/>
        <v>1</v>
      </c>
      <c r="H15" s="349" t="b">
        <f t="shared" si="2"/>
        <v>0</v>
      </c>
      <c r="I15" s="350">
        <f t="shared" si="3"/>
        <v>1</v>
      </c>
      <c r="J15" s="382">
        <f t="shared" si="4"/>
        <v>0</v>
      </c>
      <c r="K15" s="382">
        <f t="shared" si="5"/>
        <v>0</v>
      </c>
      <c r="L15" s="382">
        <f t="shared" si="6"/>
        <v>2</v>
      </c>
    </row>
    <row r="16" spans="1:12" ht="31.5" x14ac:dyDescent="0.25">
      <c r="A16" s="37">
        <v>5</v>
      </c>
      <c r="B16" s="163" t="s">
        <v>1408</v>
      </c>
      <c r="C16" s="380" t="s">
        <v>1409</v>
      </c>
      <c r="D16" s="6" t="s">
        <v>841</v>
      </c>
      <c r="E16" s="507">
        <v>2017</v>
      </c>
      <c r="F16" s="16">
        <f t="shared" si="0"/>
        <v>2</v>
      </c>
      <c r="G16" s="58">
        <f t="shared" si="1"/>
        <v>1</v>
      </c>
      <c r="H16" s="349" t="b">
        <f t="shared" si="2"/>
        <v>0</v>
      </c>
      <c r="I16" s="350">
        <f t="shared" si="3"/>
        <v>1</v>
      </c>
      <c r="J16" s="382">
        <f t="shared" si="4"/>
        <v>0</v>
      </c>
      <c r="K16" s="382">
        <f t="shared" si="5"/>
        <v>0</v>
      </c>
      <c r="L16" s="382">
        <f t="shared" si="6"/>
        <v>2</v>
      </c>
    </row>
    <row r="17" spans="1:12" ht="31.5" x14ac:dyDescent="0.25">
      <c r="A17" s="37">
        <v>6</v>
      </c>
      <c r="B17" s="163" t="s">
        <v>1408</v>
      </c>
      <c r="C17" s="380" t="s">
        <v>1409</v>
      </c>
      <c r="D17" s="6" t="s">
        <v>841</v>
      </c>
      <c r="E17" s="507">
        <v>2018</v>
      </c>
      <c r="F17" s="16">
        <f t="shared" si="0"/>
        <v>2</v>
      </c>
      <c r="G17" s="58">
        <f t="shared" si="1"/>
        <v>1</v>
      </c>
      <c r="H17" s="349" t="b">
        <f t="shared" si="2"/>
        <v>0</v>
      </c>
      <c r="I17" s="350">
        <f t="shared" si="3"/>
        <v>1</v>
      </c>
      <c r="J17" s="382">
        <f t="shared" si="4"/>
        <v>0</v>
      </c>
      <c r="K17" s="382">
        <f t="shared" si="5"/>
        <v>0</v>
      </c>
      <c r="L17" s="382">
        <f t="shared" si="6"/>
        <v>2</v>
      </c>
    </row>
    <row r="18" spans="1:12" ht="31.5" x14ac:dyDescent="0.25">
      <c r="A18" s="37">
        <v>7</v>
      </c>
      <c r="B18" s="163" t="s">
        <v>1410</v>
      </c>
      <c r="C18" s="6" t="s">
        <v>1411</v>
      </c>
      <c r="D18" s="6" t="s">
        <v>841</v>
      </c>
      <c r="E18" s="507">
        <v>2018</v>
      </c>
      <c r="F18" s="16">
        <f t="shared" si="0"/>
        <v>2</v>
      </c>
      <c r="G18" s="58">
        <f t="shared" si="1"/>
        <v>1</v>
      </c>
      <c r="H18" s="349" t="b">
        <f t="shared" si="2"/>
        <v>0</v>
      </c>
      <c r="I18" s="350">
        <f t="shared" si="3"/>
        <v>1</v>
      </c>
      <c r="J18" s="382">
        <f t="shared" si="4"/>
        <v>0</v>
      </c>
      <c r="K18" s="382">
        <f t="shared" si="5"/>
        <v>0</v>
      </c>
      <c r="L18" s="382">
        <f t="shared" si="6"/>
        <v>2</v>
      </c>
    </row>
    <row r="19" spans="1:12" ht="31.5" x14ac:dyDescent="0.25">
      <c r="A19" s="37">
        <v>8</v>
      </c>
      <c r="B19" s="163" t="s">
        <v>1408</v>
      </c>
      <c r="C19" s="380" t="s">
        <v>1409</v>
      </c>
      <c r="D19" s="6" t="s">
        <v>841</v>
      </c>
      <c r="E19" s="507">
        <v>2019</v>
      </c>
      <c r="F19" s="16">
        <f t="shared" si="0"/>
        <v>2</v>
      </c>
      <c r="G19" s="58">
        <f t="shared" si="1"/>
        <v>1</v>
      </c>
      <c r="H19" s="349" t="b">
        <f t="shared" si="2"/>
        <v>0</v>
      </c>
      <c r="I19" s="350">
        <f t="shared" si="3"/>
        <v>1</v>
      </c>
      <c r="J19" s="382">
        <f t="shared" si="4"/>
        <v>0</v>
      </c>
      <c r="K19" s="382">
        <f t="shared" si="5"/>
        <v>0</v>
      </c>
      <c r="L19" s="382">
        <f t="shared" si="6"/>
        <v>2</v>
      </c>
    </row>
    <row r="20" spans="1:12" ht="31.5" x14ac:dyDescent="0.25">
      <c r="A20" s="37">
        <v>9</v>
      </c>
      <c r="B20" s="163" t="s">
        <v>1410</v>
      </c>
      <c r="C20" s="6" t="s">
        <v>1411</v>
      </c>
      <c r="D20" s="6" t="s">
        <v>841</v>
      </c>
      <c r="E20" s="507">
        <v>2019</v>
      </c>
      <c r="F20" s="16">
        <f t="shared" si="0"/>
        <v>2</v>
      </c>
      <c r="G20" s="58">
        <f t="shared" si="1"/>
        <v>1</v>
      </c>
      <c r="H20" s="349" t="b">
        <f t="shared" si="2"/>
        <v>0</v>
      </c>
      <c r="I20" s="350">
        <f t="shared" si="3"/>
        <v>1</v>
      </c>
      <c r="J20" s="382">
        <f t="shared" si="4"/>
        <v>0</v>
      </c>
      <c r="K20" s="382">
        <f t="shared" si="5"/>
        <v>0</v>
      </c>
      <c r="L20" s="382">
        <f t="shared" si="6"/>
        <v>2</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329</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8" t="s">
        <v>51</v>
      </c>
      <c r="B12" s="103">
        <v>20</v>
      </c>
      <c r="E12" s="100">
        <v>11</v>
      </c>
      <c r="F12" s="101">
        <v>0.5</v>
      </c>
    </row>
    <row r="13" spans="1:6" x14ac:dyDescent="0.25">
      <c r="A13" s="529"/>
      <c r="B13" s="103">
        <v>10</v>
      </c>
      <c r="E13" s="100">
        <v>12</v>
      </c>
      <c r="F13" s="101">
        <v>0.5</v>
      </c>
    </row>
    <row r="14" spans="1:6" x14ac:dyDescent="0.25">
      <c r="A14" s="102" t="s">
        <v>52</v>
      </c>
      <c r="B14" s="103">
        <v>10</v>
      </c>
      <c r="E14" s="100">
        <v>13</v>
      </c>
      <c r="F14" s="101">
        <v>0.5</v>
      </c>
    </row>
    <row r="15" spans="1:6" x14ac:dyDescent="0.25">
      <c r="A15" s="528" t="s">
        <v>10</v>
      </c>
      <c r="B15" s="104">
        <v>100</v>
      </c>
      <c r="E15" s="100">
        <v>14</v>
      </c>
      <c r="F15" s="101">
        <v>0.5</v>
      </c>
    </row>
    <row r="16" spans="1:6" x14ac:dyDescent="0.25">
      <c r="A16" s="530"/>
      <c r="B16" s="104">
        <v>200</v>
      </c>
      <c r="E16" s="100">
        <v>15</v>
      </c>
      <c r="F16" s="101">
        <v>0.5</v>
      </c>
    </row>
    <row r="17" spans="1:6" ht="15.75" thickBot="1" x14ac:dyDescent="0.3">
      <c r="A17" s="531"/>
      <c r="B17" s="105">
        <v>100</v>
      </c>
      <c r="E17" s="100">
        <v>16</v>
      </c>
      <c r="F17" s="101">
        <v>0.5</v>
      </c>
    </row>
    <row r="18" spans="1:6" ht="28.5" x14ac:dyDescent="0.25">
      <c r="A18" s="98" t="s">
        <v>325</v>
      </c>
      <c r="B18" s="106">
        <v>4</v>
      </c>
      <c r="C18" s="157" t="s">
        <v>788</v>
      </c>
      <c r="E18" s="40"/>
      <c r="F18" s="40"/>
    </row>
    <row r="19" spans="1:6" ht="29.25" thickBot="1" x14ac:dyDescent="0.3">
      <c r="A19" s="107" t="s">
        <v>326</v>
      </c>
      <c r="B19" s="108">
        <v>2</v>
      </c>
      <c r="C19" s="157" t="s">
        <v>789</v>
      </c>
      <c r="E19" s="40"/>
      <c r="F19" s="40"/>
    </row>
    <row r="20" spans="1:6" ht="28.5" x14ac:dyDescent="0.25">
      <c r="A20" s="98" t="s">
        <v>651</v>
      </c>
      <c r="B20" s="108">
        <v>1.5</v>
      </c>
      <c r="C20" s="157" t="s">
        <v>790</v>
      </c>
      <c r="E20" s="40"/>
      <c r="F20" s="40"/>
    </row>
    <row r="21" spans="1:6" ht="46.5" x14ac:dyDescent="0.25">
      <c r="A21" s="107" t="s">
        <v>662</v>
      </c>
      <c r="B21" s="108">
        <v>1</v>
      </c>
      <c r="C21" s="157" t="s">
        <v>791</v>
      </c>
      <c r="E21" s="40"/>
      <c r="F21" s="40"/>
    </row>
    <row r="22" spans="1:6" ht="29.25" thickBot="1" x14ac:dyDescent="0.3">
      <c r="A22" s="107" t="s">
        <v>663</v>
      </c>
      <c r="B22" s="108">
        <v>0.5</v>
      </c>
      <c r="C22" s="157" t="s">
        <v>803</v>
      </c>
      <c r="E22" s="40"/>
      <c r="F22" s="40"/>
    </row>
    <row r="23" spans="1:6" ht="19.5" x14ac:dyDescent="0.25">
      <c r="A23" s="98" t="s">
        <v>670</v>
      </c>
      <c r="B23" s="106">
        <v>2</v>
      </c>
      <c r="C23" s="157" t="s">
        <v>676</v>
      </c>
    </row>
    <row r="24" spans="1:6" ht="20.25" thickBot="1" x14ac:dyDescent="0.3">
      <c r="A24" s="107" t="s">
        <v>671</v>
      </c>
      <c r="B24" s="108">
        <v>1</v>
      </c>
      <c r="C24" s="158" t="s">
        <v>677</v>
      </c>
    </row>
    <row r="25" spans="1:6" ht="19.5" x14ac:dyDescent="0.25">
      <c r="A25" s="98" t="s">
        <v>672</v>
      </c>
      <c r="B25" s="108">
        <f>1.5/2</f>
        <v>0.75</v>
      </c>
      <c r="C25" s="158" t="s">
        <v>678</v>
      </c>
    </row>
    <row r="26" spans="1:6" ht="37.5" x14ac:dyDescent="0.25">
      <c r="A26" s="107" t="s">
        <v>673</v>
      </c>
      <c r="B26" s="108">
        <v>0.5</v>
      </c>
      <c r="C26" s="157" t="s">
        <v>679</v>
      </c>
    </row>
    <row r="27" spans="1:6" ht="19.5" x14ac:dyDescent="0.25">
      <c r="A27" s="107" t="s">
        <v>674</v>
      </c>
      <c r="B27" s="108">
        <f>0.5/2</f>
        <v>0.25</v>
      </c>
      <c r="C27" s="157" t="s">
        <v>680</v>
      </c>
    </row>
    <row r="28" spans="1:6" x14ac:dyDescent="0.25">
      <c r="A28" s="102" t="s">
        <v>7</v>
      </c>
      <c r="B28" s="109">
        <v>0.5</v>
      </c>
    </row>
    <row r="29" spans="1:6" x14ac:dyDescent="0.25">
      <c r="A29" s="102" t="s">
        <v>29</v>
      </c>
      <c r="B29" s="109">
        <v>0.2</v>
      </c>
    </row>
    <row r="30" spans="1:6" x14ac:dyDescent="0.25">
      <c r="A30" s="102" t="s">
        <v>694</v>
      </c>
      <c r="B30" s="109">
        <v>1</v>
      </c>
    </row>
    <row r="31" spans="1:6" x14ac:dyDescent="0.25">
      <c r="A31" s="102" t="s">
        <v>696</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5" t="s">
        <v>327</v>
      </c>
      <c r="B36" s="111">
        <v>100</v>
      </c>
    </row>
    <row r="37" spans="1:2" x14ac:dyDescent="0.25">
      <c r="A37" s="526"/>
      <c r="B37" s="112">
        <v>80</v>
      </c>
    </row>
    <row r="38" spans="1:2" x14ac:dyDescent="0.25">
      <c r="A38" s="526"/>
      <c r="B38" s="112">
        <v>0</v>
      </c>
    </row>
    <row r="39" spans="1:2" ht="15.75" thickBot="1" x14ac:dyDescent="0.3">
      <c r="A39" s="527"/>
      <c r="B39" s="113">
        <v>20</v>
      </c>
    </row>
    <row r="40" spans="1:2" x14ac:dyDescent="0.25">
      <c r="A40" s="525" t="s">
        <v>328</v>
      </c>
      <c r="B40" s="114">
        <v>30</v>
      </c>
    </row>
    <row r="41" spans="1:2" x14ac:dyDescent="0.25">
      <c r="A41" s="526"/>
      <c r="B41" s="112">
        <v>20</v>
      </c>
    </row>
    <row r="42" spans="1:2" x14ac:dyDescent="0.25">
      <c r="A42" s="526"/>
      <c r="B42" s="112">
        <v>15</v>
      </c>
    </row>
    <row r="43" spans="1:2" ht="15.75" thickBot="1" x14ac:dyDescent="0.3">
      <c r="A43" s="527"/>
      <c r="B43" s="115">
        <v>10</v>
      </c>
    </row>
    <row r="44" spans="1:2" x14ac:dyDescent="0.25">
      <c r="A44" s="525" t="s">
        <v>11</v>
      </c>
      <c r="B44" s="111">
        <v>60</v>
      </c>
    </row>
    <row r="45" spans="1:2" x14ac:dyDescent="0.25">
      <c r="A45" s="526"/>
      <c r="B45" s="112">
        <v>40</v>
      </c>
    </row>
    <row r="46" spans="1:2" x14ac:dyDescent="0.25">
      <c r="A46" s="526"/>
      <c r="B46" s="112">
        <v>0</v>
      </c>
    </row>
    <row r="47" spans="1:2" ht="15.75" thickBot="1" x14ac:dyDescent="0.3">
      <c r="A47" s="527"/>
      <c r="B47" s="113">
        <v>20</v>
      </c>
    </row>
    <row r="48" spans="1:2" x14ac:dyDescent="0.25">
      <c r="A48" s="525" t="s">
        <v>12</v>
      </c>
      <c r="B48" s="111">
        <v>15</v>
      </c>
    </row>
    <row r="49" spans="1:2" x14ac:dyDescent="0.25">
      <c r="A49" s="526"/>
      <c r="B49" s="112">
        <v>10</v>
      </c>
    </row>
    <row r="50" spans="1:2" x14ac:dyDescent="0.25">
      <c r="A50" s="526"/>
      <c r="B50" s="112">
        <v>7.5</v>
      </c>
    </row>
    <row r="51" spans="1:2" ht="15.75" thickBot="1" x14ac:dyDescent="0.3">
      <c r="A51" s="526"/>
      <c r="B51" s="113">
        <v>5</v>
      </c>
    </row>
    <row r="52" spans="1:2" ht="15.75" thickBot="1" x14ac:dyDescent="0.3">
      <c r="A52" s="116" t="s">
        <v>318</v>
      </c>
      <c r="B52" s="117">
        <v>30</v>
      </c>
    </row>
    <row r="53" spans="1:2" ht="15.75" thickBot="1" x14ac:dyDescent="0.3">
      <c r="A53" s="116" t="s">
        <v>319</v>
      </c>
      <c r="B53" s="118">
        <v>12</v>
      </c>
    </row>
    <row r="54" spans="1:2" x14ac:dyDescent="0.25">
      <c r="A54" s="119" t="s">
        <v>321</v>
      </c>
      <c r="B54" s="120">
        <v>24</v>
      </c>
    </row>
    <row r="55" spans="1:2" x14ac:dyDescent="0.25">
      <c r="A55" s="121" t="s">
        <v>322</v>
      </c>
      <c r="B55" s="122">
        <v>16</v>
      </c>
    </row>
    <row r="56" spans="1:2" ht="15.75" thickBot="1" x14ac:dyDescent="0.3">
      <c r="A56" s="123" t="s">
        <v>323</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649</v>
      </c>
      <c r="B61" s="128">
        <v>1</v>
      </c>
    </row>
    <row r="62" spans="1:2" x14ac:dyDescent="0.25">
      <c r="A62" s="127" t="s">
        <v>650</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M20" sqref="M20"/>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2"/>
      <c r="E1" s="61"/>
      <c r="F1" s="63"/>
      <c r="G1" s="62"/>
      <c r="H1" s="289"/>
    </row>
    <row r="2" spans="1:9" s="60" customFormat="1" x14ac:dyDescent="0.2">
      <c r="A2" s="346" t="str">
        <f>IF(ISBLANK(facultate), IF(ISBLANK(departament),"","Departament " &amp; departament), "Facultatea " &amp; facultate)</f>
        <v>Facultatea Mecanică</v>
      </c>
      <c r="B2" s="332"/>
      <c r="E2" s="61"/>
      <c r="F2" s="63"/>
      <c r="G2" s="62"/>
      <c r="H2" s="289"/>
    </row>
    <row r="3" spans="1:9" s="60" customFormat="1" x14ac:dyDescent="0.2">
      <c r="A3" s="346" t="str">
        <f>IF(ISBLANK(departament),"","Departamentul " &amp; departament)</f>
        <v>Departamentul Ingineria Materialelor și Fabricației</v>
      </c>
      <c r="B3" s="332"/>
      <c r="E3" s="61"/>
      <c r="F3" s="63"/>
      <c r="G3" s="62"/>
      <c r="H3" s="289"/>
    </row>
    <row r="4" spans="1:9" x14ac:dyDescent="0.25">
      <c r="A4" s="535" t="s">
        <v>836</v>
      </c>
      <c r="B4" s="535"/>
      <c r="C4" s="535"/>
      <c r="D4" s="535"/>
      <c r="E4" s="535"/>
      <c r="F4" s="535"/>
      <c r="G4" s="226"/>
      <c r="H4" s="291"/>
    </row>
    <row r="5" spans="1:9" x14ac:dyDescent="0.25">
      <c r="A5" s="535" t="s">
        <v>848</v>
      </c>
      <c r="B5" s="535"/>
      <c r="C5" s="535"/>
      <c r="D5" s="535"/>
      <c r="E5" s="535"/>
      <c r="F5" s="535"/>
      <c r="G5" s="226"/>
    </row>
    <row r="6" spans="1:9" ht="13.5" customHeight="1" x14ac:dyDescent="0.25">
      <c r="E6" s="64"/>
      <c r="F6" s="347" t="str">
        <f>CONCATENATE(functie," ",nume_candidat)</f>
        <v>Conferențiar Codrean Cosmin</v>
      </c>
    </row>
    <row r="7" spans="1:9" ht="18.75" customHeight="1" x14ac:dyDescent="0.25">
      <c r="A7" s="533" t="s">
        <v>338</v>
      </c>
      <c r="B7" s="543" t="s">
        <v>849</v>
      </c>
      <c r="C7" s="543" t="s">
        <v>842</v>
      </c>
      <c r="D7" s="543" t="s">
        <v>843</v>
      </c>
      <c r="E7" s="543" t="s">
        <v>2</v>
      </c>
      <c r="F7" s="533" t="s">
        <v>544</v>
      </c>
      <c r="G7" s="533" t="s">
        <v>4</v>
      </c>
      <c r="H7" s="554" t="s">
        <v>541</v>
      </c>
      <c r="I7" s="540" t="s">
        <v>551</v>
      </c>
    </row>
    <row r="8" spans="1:9" ht="18.75" customHeight="1" x14ac:dyDescent="0.25">
      <c r="A8" s="550"/>
      <c r="B8" s="544"/>
      <c r="C8" s="544"/>
      <c r="D8" s="544"/>
      <c r="E8" s="544"/>
      <c r="F8" s="550"/>
      <c r="G8" s="550"/>
      <c r="H8" s="555"/>
      <c r="I8" s="540"/>
    </row>
    <row r="9" spans="1:9" ht="18.75" customHeight="1" x14ac:dyDescent="0.25">
      <c r="A9" s="550"/>
      <c r="B9" s="544"/>
      <c r="C9" s="544"/>
      <c r="D9" s="544"/>
      <c r="E9" s="544"/>
      <c r="F9" s="534"/>
      <c r="G9" s="534"/>
      <c r="H9" s="555"/>
      <c r="I9" s="540"/>
    </row>
    <row r="10" spans="1:9" ht="18.75" customHeight="1" x14ac:dyDescent="0.25">
      <c r="A10" s="534"/>
      <c r="B10" s="545"/>
      <c r="C10" s="545"/>
      <c r="D10" s="545"/>
      <c r="E10" s="545"/>
      <c r="F10" s="348" t="str">
        <f>CONCATENATE("ultimii ",durata_evaluare," ani")</f>
        <v>ultimii 5 ani</v>
      </c>
      <c r="G10" s="348" t="str">
        <f>CONCATENATE("ultimii                                  ",durata_evaluare," ani")</f>
        <v>ultimii                                  5 ani</v>
      </c>
      <c r="H10" s="556"/>
      <c r="I10" s="540"/>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O19" sqref="O19"/>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Ingineria Materialelor și Fabricației</v>
      </c>
      <c r="C3" s="61"/>
      <c r="D3" s="63"/>
      <c r="E3" s="62"/>
      <c r="F3" s="289"/>
    </row>
    <row r="4" spans="1:7" x14ac:dyDescent="0.25">
      <c r="A4" s="535" t="s">
        <v>836</v>
      </c>
      <c r="B4" s="535"/>
      <c r="C4" s="535"/>
      <c r="D4" s="535"/>
      <c r="E4" s="535"/>
      <c r="F4" s="535"/>
    </row>
    <row r="5" spans="1:7" x14ac:dyDescent="0.25">
      <c r="A5" s="608" t="s">
        <v>1081</v>
      </c>
      <c r="B5" s="608"/>
      <c r="C5" s="608"/>
      <c r="D5" s="608"/>
      <c r="E5" s="226"/>
    </row>
    <row r="6" spans="1:7" ht="13.5" customHeight="1" x14ac:dyDescent="0.25">
      <c r="C6" s="64"/>
      <c r="D6" s="347" t="str">
        <f>CONCATENATE(functie," ",nume_candidat)</f>
        <v>Conferențiar Codrean Cosmin</v>
      </c>
    </row>
    <row r="7" spans="1:7" ht="18.75" customHeight="1" x14ac:dyDescent="0.25">
      <c r="A7" s="533" t="s">
        <v>338</v>
      </c>
      <c r="B7" s="533" t="s">
        <v>1043</v>
      </c>
      <c r="C7" s="543" t="s">
        <v>2</v>
      </c>
      <c r="D7" s="533" t="s">
        <v>544</v>
      </c>
      <c r="E7" s="533" t="s">
        <v>4</v>
      </c>
      <c r="F7" s="554" t="s">
        <v>541</v>
      </c>
      <c r="G7" s="540" t="s">
        <v>551</v>
      </c>
    </row>
    <row r="8" spans="1:7" ht="18.75" customHeight="1" x14ac:dyDescent="0.25">
      <c r="A8" s="550"/>
      <c r="B8" s="550"/>
      <c r="C8" s="544"/>
      <c r="D8" s="550"/>
      <c r="E8" s="550"/>
      <c r="F8" s="555"/>
      <c r="G8" s="540"/>
    </row>
    <row r="9" spans="1:7" ht="18.75" customHeight="1" x14ac:dyDescent="0.25">
      <c r="A9" s="550"/>
      <c r="B9" s="550"/>
      <c r="C9" s="544"/>
      <c r="D9" s="534"/>
      <c r="E9" s="534"/>
      <c r="F9" s="555"/>
      <c r="G9" s="540"/>
    </row>
    <row r="10" spans="1:7" ht="18.75" customHeight="1" x14ac:dyDescent="0.25">
      <c r="A10" s="534"/>
      <c r="B10" s="534"/>
      <c r="C10" s="545"/>
      <c r="D10" s="348" t="str">
        <f>CONCATENATE("ultimii ",durata_evaluare," ani")</f>
        <v>ultimii 5 ani</v>
      </c>
      <c r="E10" s="348" t="str">
        <f>CONCATENATE("ultimii                                  ",durata_evaluare," ani")</f>
        <v>ultimii                                  5 ani</v>
      </c>
      <c r="F10" s="556"/>
      <c r="G10" s="540"/>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J19" sqref="J19"/>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Ingineria Materialelor și Fabricației</v>
      </c>
      <c r="D3" s="61"/>
      <c r="E3" s="63"/>
      <c r="F3" s="62"/>
      <c r="G3" s="289"/>
    </row>
    <row r="4" spans="1:8" x14ac:dyDescent="0.25">
      <c r="A4" s="535" t="s">
        <v>836</v>
      </c>
      <c r="B4" s="535"/>
      <c r="C4" s="535"/>
      <c r="D4" s="535"/>
      <c r="E4" s="535"/>
      <c r="F4" s="535"/>
      <c r="G4" s="535"/>
    </row>
    <row r="5" spans="1:8" x14ac:dyDescent="0.25">
      <c r="A5" s="535" t="s">
        <v>850</v>
      </c>
      <c r="B5" s="535"/>
      <c r="C5" s="535"/>
      <c r="D5" s="535"/>
      <c r="E5" s="535"/>
      <c r="F5" s="226"/>
    </row>
    <row r="6" spans="1:8" ht="13.5" customHeight="1" x14ac:dyDescent="0.25">
      <c r="D6" s="64"/>
      <c r="E6" s="347" t="str">
        <f>CONCATENATE(functie," ",nume_candidat)</f>
        <v>Conferențiar Codrean Cosmin</v>
      </c>
    </row>
    <row r="7" spans="1:8" ht="18.75" customHeight="1" x14ac:dyDescent="0.25">
      <c r="A7" s="533" t="s">
        <v>338</v>
      </c>
      <c r="B7" s="533" t="s">
        <v>1044</v>
      </c>
      <c r="C7" s="533" t="s">
        <v>460</v>
      </c>
      <c r="D7" s="543" t="s">
        <v>2</v>
      </c>
      <c r="E7" s="533" t="s">
        <v>544</v>
      </c>
      <c r="F7" s="533" t="s">
        <v>4</v>
      </c>
      <c r="G7" s="554" t="s">
        <v>541</v>
      </c>
      <c r="H7" s="540" t="s">
        <v>551</v>
      </c>
    </row>
    <row r="8" spans="1:8" ht="18.75" customHeight="1" x14ac:dyDescent="0.25">
      <c r="A8" s="550"/>
      <c r="B8" s="550"/>
      <c r="C8" s="550"/>
      <c r="D8" s="544"/>
      <c r="E8" s="550"/>
      <c r="F8" s="550"/>
      <c r="G8" s="555"/>
      <c r="H8" s="540"/>
    </row>
    <row r="9" spans="1:8" ht="18.75" customHeight="1" x14ac:dyDescent="0.25">
      <c r="A9" s="550"/>
      <c r="B9" s="550"/>
      <c r="C9" s="550"/>
      <c r="D9" s="544"/>
      <c r="E9" s="534"/>
      <c r="F9" s="534"/>
      <c r="G9" s="555"/>
      <c r="H9" s="540"/>
    </row>
    <row r="10" spans="1:8" ht="18.75" customHeight="1" x14ac:dyDescent="0.25">
      <c r="A10" s="534"/>
      <c r="B10" s="534"/>
      <c r="C10" s="534"/>
      <c r="D10" s="545"/>
      <c r="E10" s="348" t="str">
        <f>CONCATENATE("ultimii ",durata_evaluare," ani")</f>
        <v>ultimii 5 ani</v>
      </c>
      <c r="F10" s="348" t="str">
        <f>CONCATENATE("ultimii                                  ",durata_evaluare," ani")</f>
        <v>ultimii                                  5 ani</v>
      </c>
      <c r="G10" s="556"/>
      <c r="H10" s="540"/>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M15" sqref="M15"/>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346" t="str">
        <f>IF(ISBLANK(facultate), IF(ISBLANK(departament),"","Departament " &amp; departament), "Facultatea " &amp; facultate)</f>
        <v>Facultatea Mecanică</v>
      </c>
      <c r="D2" s="61"/>
      <c r="E2" s="63"/>
      <c r="F2" s="50"/>
      <c r="G2" s="62"/>
      <c r="H2" s="289"/>
      <c r="J2"/>
    </row>
    <row r="3" spans="1:10" s="60" customFormat="1" x14ac:dyDescent="0.25">
      <c r="A3" s="346" t="str">
        <f>IF(ISBLANK(departament),"","Departamentul " &amp; departament)</f>
        <v>Departamentul Ingineria Materialelor și Fabricației</v>
      </c>
      <c r="D3" s="61"/>
      <c r="E3" s="63"/>
      <c r="F3" s="50"/>
      <c r="G3" s="62"/>
      <c r="H3" s="289"/>
      <c r="J3"/>
    </row>
    <row r="4" spans="1:10" x14ac:dyDescent="0.25">
      <c r="A4" s="535" t="s">
        <v>836</v>
      </c>
      <c r="B4" s="535"/>
      <c r="C4" s="535"/>
      <c r="D4" s="535"/>
      <c r="E4" s="535"/>
      <c r="F4" s="535"/>
      <c r="G4" s="535"/>
      <c r="H4" s="535"/>
    </row>
    <row r="5" spans="1:10" x14ac:dyDescent="0.25">
      <c r="A5" s="535" t="s">
        <v>858</v>
      </c>
      <c r="B5" s="535"/>
      <c r="C5" s="535"/>
      <c r="D5" s="535"/>
      <c r="E5" s="535"/>
      <c r="F5" s="424"/>
      <c r="G5" s="226"/>
    </row>
    <row r="6" spans="1:10" ht="13.5" customHeight="1" x14ac:dyDescent="0.25">
      <c r="D6" s="64"/>
      <c r="E6" s="347" t="str">
        <f>CONCATENATE(functie," ",nume_candidat)</f>
        <v>Conferențiar Codrean Cosmin</v>
      </c>
      <c r="F6" s="347" t="str">
        <f>CONCATENATE(functie," ",nume_candidat)</f>
        <v>Conferențiar Codrean Cosmin</v>
      </c>
    </row>
    <row r="7" spans="1:10" ht="18.75" customHeight="1" x14ac:dyDescent="0.25">
      <c r="A7" s="533" t="s">
        <v>338</v>
      </c>
      <c r="B7" s="533" t="s">
        <v>859</v>
      </c>
      <c r="C7" s="533" t="s">
        <v>1045</v>
      </c>
      <c r="D7" s="543" t="s">
        <v>2</v>
      </c>
      <c r="E7" s="533" t="s">
        <v>544</v>
      </c>
      <c r="F7" s="543" t="s">
        <v>1101</v>
      </c>
      <c r="G7" s="533" t="s">
        <v>4</v>
      </c>
      <c r="H7" s="554" t="s">
        <v>541</v>
      </c>
      <c r="I7" s="540" t="s">
        <v>551</v>
      </c>
    </row>
    <row r="8" spans="1:10" ht="18.75" customHeight="1" x14ac:dyDescent="0.25">
      <c r="A8" s="550"/>
      <c r="B8" s="550"/>
      <c r="C8" s="550"/>
      <c r="D8" s="544"/>
      <c r="E8" s="550"/>
      <c r="F8" s="544"/>
      <c r="G8" s="550"/>
      <c r="H8" s="555"/>
      <c r="I8" s="540"/>
    </row>
    <row r="9" spans="1:10" ht="18.75" customHeight="1" x14ac:dyDescent="0.25">
      <c r="A9" s="550"/>
      <c r="B9" s="550"/>
      <c r="C9" s="550"/>
      <c r="D9" s="544"/>
      <c r="E9" s="534"/>
      <c r="F9" s="544"/>
      <c r="G9" s="534"/>
      <c r="H9" s="555"/>
      <c r="I9" s="540"/>
    </row>
    <row r="10" spans="1:10" ht="18.75" customHeight="1" x14ac:dyDescent="0.25">
      <c r="A10" s="534"/>
      <c r="B10" s="534"/>
      <c r="C10" s="534"/>
      <c r="D10" s="545"/>
      <c r="E10" s="348" t="str">
        <f>CONCATENATE("ultimii ",durata_evaluare," ani")</f>
        <v>ultimii 5 ani</v>
      </c>
      <c r="F10" s="545"/>
      <c r="G10" s="348" t="str">
        <f>CONCATENATE("ultimii                                  ",durata_evaluare," ani")</f>
        <v>ultimii                                  5 ani</v>
      </c>
      <c r="H10" s="556"/>
      <c r="I10" s="540"/>
    </row>
    <row r="11" spans="1:10" x14ac:dyDescent="0.25">
      <c r="A11" s="88"/>
      <c r="B11" s="65"/>
      <c r="C11" s="65"/>
      <c r="D11" s="30"/>
      <c r="E11" s="148">
        <f>SUMIF(E12:E1012,"&gt;0")</f>
        <v>20</v>
      </c>
      <c r="F11" s="436"/>
      <c r="G11" s="4">
        <f>SUMIF(G12:G1110,"&gt;0")</f>
        <v>2</v>
      </c>
      <c r="H11" s="298"/>
    </row>
    <row r="12" spans="1:10" ht="31.5" x14ac:dyDescent="0.25">
      <c r="A12" s="37">
        <v>1</v>
      </c>
      <c r="B12" s="380" t="s">
        <v>1412</v>
      </c>
      <c r="C12" s="420" t="s">
        <v>855</v>
      </c>
      <c r="D12" s="509">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1</v>
      </c>
      <c r="I12" s="350">
        <f t="shared" ref="I12:I43" si="3">LEN(B12)-LEN(SUBSTITUTE(B12,",",""))+1</f>
        <v>3</v>
      </c>
    </row>
    <row r="13" spans="1:10" ht="47.25" x14ac:dyDescent="0.25">
      <c r="A13" s="37">
        <v>2</v>
      </c>
      <c r="B13" s="380" t="s">
        <v>1413</v>
      </c>
      <c r="C13" s="420" t="s">
        <v>856</v>
      </c>
      <c r="D13" s="509">
        <v>2016</v>
      </c>
      <c r="E13" s="16">
        <f t="shared" si="0"/>
        <v>10</v>
      </c>
      <c r="F13" s="37"/>
      <c r="G13" s="58">
        <f t="shared" si="1"/>
        <v>1</v>
      </c>
      <c r="H13" s="349" t="b">
        <f t="shared" si="2"/>
        <v>1</v>
      </c>
      <c r="I13" s="350">
        <f t="shared" si="3"/>
        <v>6</v>
      </c>
    </row>
    <row r="14" spans="1:10" x14ac:dyDescent="0.25">
      <c r="A14" s="37">
        <v>3</v>
      </c>
      <c r="B14" s="7"/>
      <c r="C14" s="420"/>
      <c r="D14" s="220"/>
      <c r="E14" s="16" t="str">
        <f t="shared" si="0"/>
        <v/>
      </c>
      <c r="F14" s="37"/>
      <c r="G14" s="58" t="str">
        <f t="shared" si="1"/>
        <v/>
      </c>
      <c r="H14" s="349" t="b">
        <f t="shared" si="2"/>
        <v>0</v>
      </c>
      <c r="I14" s="350">
        <f t="shared" si="3"/>
        <v>1</v>
      </c>
    </row>
    <row r="15" spans="1:10" x14ac:dyDescent="0.25">
      <c r="A15" s="37">
        <v>4</v>
      </c>
      <c r="B15" s="6"/>
      <c r="C15" s="6"/>
      <c r="D15" s="216"/>
      <c r="E15" s="16" t="str">
        <f t="shared" si="0"/>
        <v/>
      </c>
      <c r="F15" s="37"/>
      <c r="G15" s="58" t="str">
        <f t="shared" si="1"/>
        <v/>
      </c>
      <c r="H15" s="349" t="b">
        <f t="shared" si="2"/>
        <v>0</v>
      </c>
      <c r="I15" s="350">
        <f t="shared" si="3"/>
        <v>1</v>
      </c>
    </row>
    <row r="16" spans="1:10" x14ac:dyDescent="0.25">
      <c r="A16" s="37">
        <v>5</v>
      </c>
      <c r="B16" s="6"/>
      <c r="C16" s="6"/>
      <c r="D16" s="216"/>
      <c r="E16" s="16" t="str">
        <f t="shared" si="0"/>
        <v/>
      </c>
      <c r="F16" s="37"/>
      <c r="G16" s="58" t="str">
        <f t="shared" si="1"/>
        <v/>
      </c>
      <c r="H16" s="349" t="b">
        <f t="shared" si="2"/>
        <v>0</v>
      </c>
      <c r="I16" s="350">
        <f t="shared" si="3"/>
        <v>1</v>
      </c>
    </row>
    <row r="17" spans="1:9" x14ac:dyDescent="0.25">
      <c r="A17" s="37">
        <v>6</v>
      </c>
      <c r="B17" s="6"/>
      <c r="C17" s="6"/>
      <c r="D17" s="216"/>
      <c r="E17" s="16" t="str">
        <f t="shared" si="0"/>
        <v/>
      </c>
      <c r="F17" s="37"/>
      <c r="G17" s="58" t="str">
        <f t="shared" si="1"/>
        <v/>
      </c>
      <c r="H17" s="349" t="b">
        <f t="shared" si="2"/>
        <v>0</v>
      </c>
      <c r="I17" s="350">
        <f t="shared" si="3"/>
        <v>1</v>
      </c>
    </row>
    <row r="18" spans="1:9" x14ac:dyDescent="0.25">
      <c r="A18" s="37">
        <v>7</v>
      </c>
      <c r="B18" s="6"/>
      <c r="C18" s="6"/>
      <c r="D18" s="216"/>
      <c r="E18" s="16" t="str">
        <f t="shared" si="0"/>
        <v/>
      </c>
      <c r="F18" s="37"/>
      <c r="G18" s="58" t="str">
        <f t="shared" si="1"/>
        <v/>
      </c>
      <c r="H18" s="349" t="b">
        <f t="shared" si="2"/>
        <v>0</v>
      </c>
      <c r="I18" s="350">
        <f t="shared" si="3"/>
        <v>1</v>
      </c>
    </row>
    <row r="19" spans="1:9" x14ac:dyDescent="0.25">
      <c r="A19" s="37">
        <v>8</v>
      </c>
      <c r="B19" s="6"/>
      <c r="C19" s="6"/>
      <c r="D19" s="216"/>
      <c r="E19" s="16" t="str">
        <f t="shared" si="0"/>
        <v/>
      </c>
      <c r="F19" s="37"/>
      <c r="G19" s="58" t="str">
        <f t="shared" si="1"/>
        <v/>
      </c>
      <c r="H19" s="349" t="b">
        <f t="shared" si="2"/>
        <v>0</v>
      </c>
      <c r="I19" s="350">
        <f t="shared" si="3"/>
        <v>1</v>
      </c>
    </row>
    <row r="20" spans="1:9" x14ac:dyDescent="0.25">
      <c r="A20" s="37">
        <v>9</v>
      </c>
      <c r="B20" s="6"/>
      <c r="C20" s="6"/>
      <c r="D20" s="216"/>
      <c r="E20" s="16" t="str">
        <f t="shared" si="0"/>
        <v/>
      </c>
      <c r="F20" s="37"/>
      <c r="G20" s="58" t="str">
        <f t="shared" si="1"/>
        <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P18" sqref="P18"/>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9"/>
      <c r="J1" s="63"/>
      <c r="K1" s="63"/>
      <c r="L1" s="63"/>
      <c r="M1" s="63"/>
    </row>
    <row r="2" spans="1:13" s="60" customFormat="1" x14ac:dyDescent="0.2">
      <c r="A2" s="346" t="str">
        <f>IF(ISBLANK(facultate), IF(ISBLANK(departament),"","Departament " &amp; departament), "Facultatea " &amp; facultate)</f>
        <v>Facultatea Mecanică</v>
      </c>
      <c r="E2" s="61"/>
      <c r="F2" s="63"/>
      <c r="G2" s="62"/>
      <c r="H2" s="289"/>
      <c r="J2" s="63"/>
      <c r="K2" s="63"/>
      <c r="L2" s="63"/>
      <c r="M2" s="63"/>
    </row>
    <row r="3" spans="1:13" s="60" customFormat="1" x14ac:dyDescent="0.2">
      <c r="A3" s="346" t="str">
        <f>IF(ISBLANK(departament),"","Departamentul " &amp; departament)</f>
        <v>Departamentul Ingineria Materialelor și Fabricației</v>
      </c>
      <c r="E3" s="61"/>
      <c r="F3" s="63"/>
      <c r="G3" s="62"/>
      <c r="H3" s="289"/>
      <c r="J3" s="63"/>
      <c r="K3" s="63"/>
      <c r="L3" s="63"/>
      <c r="M3" s="63"/>
    </row>
    <row r="4" spans="1:13" x14ac:dyDescent="0.25">
      <c r="A4" s="535" t="s">
        <v>836</v>
      </c>
      <c r="B4" s="535"/>
      <c r="C4" s="535"/>
      <c r="D4" s="535"/>
      <c r="E4" s="535"/>
      <c r="F4" s="535"/>
      <c r="G4" s="535"/>
      <c r="H4" s="535"/>
    </row>
    <row r="5" spans="1:13" x14ac:dyDescent="0.25">
      <c r="A5" s="535" t="s">
        <v>860</v>
      </c>
      <c r="B5" s="535"/>
      <c r="C5" s="535"/>
      <c r="D5" s="535"/>
      <c r="E5" s="535"/>
      <c r="F5" s="535"/>
      <c r="G5" s="226"/>
    </row>
    <row r="6" spans="1:13" ht="13.5" customHeight="1" x14ac:dyDescent="0.25">
      <c r="E6" s="64"/>
      <c r="F6" s="347" t="str">
        <f>CONCATENATE(functie," ",nume_candidat)</f>
        <v>Conferențiar Codrean Cosmin</v>
      </c>
      <c r="J6" s="347" t="str">
        <f>CONCATENATE(functie," ",nume_candidat)</f>
        <v>Conferențiar Codrean Cosmin</v>
      </c>
      <c r="K6" s="347" t="str">
        <f>CONCATENATE(functie," ",nume_candidat)</f>
        <v>Conferențiar Codrean Cosmin</v>
      </c>
      <c r="L6" s="347" t="str">
        <f>CONCATENATE(functie," ",nume_candidat)</f>
        <v>Conferențiar Codrean Cosmin</v>
      </c>
      <c r="M6" s="347" t="str">
        <f>CONCATENATE(functie," ",nume_candidat)</f>
        <v>Conferențiar Codrean Cosmin</v>
      </c>
    </row>
    <row r="7" spans="1:13" ht="18.75" customHeight="1" x14ac:dyDescent="0.25">
      <c r="A7" s="533" t="s">
        <v>338</v>
      </c>
      <c r="B7" s="533" t="s">
        <v>824</v>
      </c>
      <c r="C7" s="533" t="s">
        <v>861</v>
      </c>
      <c r="D7" s="533" t="s">
        <v>867</v>
      </c>
      <c r="E7" s="543" t="s">
        <v>2</v>
      </c>
      <c r="F7" s="533" t="s">
        <v>544</v>
      </c>
      <c r="G7" s="533" t="s">
        <v>4</v>
      </c>
      <c r="H7" s="554" t="s">
        <v>541</v>
      </c>
      <c r="I7" s="540" t="s">
        <v>551</v>
      </c>
      <c r="J7" s="533" t="s">
        <v>863</v>
      </c>
      <c r="K7" s="533" t="s">
        <v>864</v>
      </c>
      <c r="L7" s="533" t="s">
        <v>865</v>
      </c>
      <c r="M7" s="533" t="s">
        <v>866</v>
      </c>
    </row>
    <row r="8" spans="1:13" ht="18.75" customHeight="1" x14ac:dyDescent="0.25">
      <c r="A8" s="550"/>
      <c r="B8" s="550"/>
      <c r="C8" s="550"/>
      <c r="D8" s="550"/>
      <c r="E8" s="544"/>
      <c r="F8" s="550"/>
      <c r="G8" s="550"/>
      <c r="H8" s="555"/>
      <c r="I8" s="540"/>
      <c r="J8" s="550"/>
      <c r="K8" s="550"/>
      <c r="L8" s="550"/>
      <c r="M8" s="550"/>
    </row>
    <row r="9" spans="1:13" ht="18.75" customHeight="1" x14ac:dyDescent="0.25">
      <c r="A9" s="550"/>
      <c r="B9" s="550"/>
      <c r="C9" s="550"/>
      <c r="D9" s="550"/>
      <c r="E9" s="544"/>
      <c r="F9" s="534"/>
      <c r="G9" s="534"/>
      <c r="H9" s="555"/>
      <c r="I9" s="540"/>
      <c r="J9" s="534"/>
      <c r="K9" s="534"/>
      <c r="L9" s="534"/>
      <c r="M9" s="534"/>
    </row>
    <row r="10" spans="1:13" ht="18.75" customHeight="1" x14ac:dyDescent="0.25">
      <c r="A10" s="534"/>
      <c r="B10" s="534"/>
      <c r="C10" s="534"/>
      <c r="D10" s="534"/>
      <c r="E10" s="545"/>
      <c r="F10" s="348" t="str">
        <f>CONCATENATE("ultimii ",durata_evaluare," ani")</f>
        <v>ultimii 5 ani</v>
      </c>
      <c r="G10" s="348" t="str">
        <f>CONCATENATE("ultimii                                  ",durata_evaluare," ani")</f>
        <v>ultimii                                  5 ani</v>
      </c>
      <c r="H10" s="556"/>
      <c r="I10" s="540"/>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R17" sqref="R17"/>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6" t="str">
        <f>IF(ISBLANK(facultate), IF(ISBLANK(departament),"","Departament " &amp; departament), "Facultatea " &amp; facultate)</f>
        <v>Facultatea Mecanică</v>
      </c>
      <c r="D2" s="61"/>
      <c r="E2" s="63"/>
      <c r="F2" s="63"/>
      <c r="G2" s="63"/>
    </row>
    <row r="3" spans="1:7" s="60" customFormat="1" x14ac:dyDescent="0.2">
      <c r="A3" s="346" t="str">
        <f>IF(ISBLANK(departament),"","Departamentul " &amp; departament)</f>
        <v>Departamentul Ingineria Materialelor și Fabricației</v>
      </c>
      <c r="D3" s="61"/>
      <c r="E3" s="63"/>
      <c r="F3" s="63"/>
      <c r="G3" s="63"/>
    </row>
    <row r="4" spans="1:7" x14ac:dyDescent="0.25">
      <c r="A4" s="535" t="s">
        <v>836</v>
      </c>
      <c r="B4" s="535"/>
      <c r="C4" s="535"/>
      <c r="D4" s="535"/>
      <c r="E4" s="535"/>
    </row>
    <row r="5" spans="1:7" x14ac:dyDescent="0.25">
      <c r="A5" s="535" t="s">
        <v>868</v>
      </c>
      <c r="B5" s="535"/>
      <c r="C5" s="535"/>
      <c r="D5" s="535"/>
      <c r="E5" s="535"/>
    </row>
    <row r="6" spans="1:7" ht="13.5" customHeight="1" x14ac:dyDescent="0.25">
      <c r="D6" s="64"/>
      <c r="E6" s="347" t="str">
        <f>CONCATENATE(functie," ",nume_candidat)</f>
        <v>Conferențiar Codrean Cosmin</v>
      </c>
      <c r="F6" s="347" t="str">
        <f>CONCATENATE(functie," ",nume_candidat)</f>
        <v>Conferențiar Codrean Cosmin</v>
      </c>
      <c r="G6" s="347" t="str">
        <f>CONCATENATE(functie," ",nume_candidat)</f>
        <v>Conferențiar Codrean Cosmin</v>
      </c>
    </row>
    <row r="7" spans="1:7" ht="18.75" customHeight="1" x14ac:dyDescent="0.25">
      <c r="A7" s="533" t="s">
        <v>338</v>
      </c>
      <c r="B7" s="533" t="s">
        <v>869</v>
      </c>
      <c r="C7" s="533" t="s">
        <v>1046</v>
      </c>
      <c r="D7" s="543" t="s">
        <v>2</v>
      </c>
      <c r="E7" s="533" t="s">
        <v>544</v>
      </c>
      <c r="F7" s="533" t="s">
        <v>863</v>
      </c>
      <c r="G7" s="533" t="s">
        <v>871</v>
      </c>
    </row>
    <row r="8" spans="1:7" ht="18.75" customHeight="1" x14ac:dyDescent="0.25">
      <c r="A8" s="550"/>
      <c r="B8" s="550"/>
      <c r="C8" s="550"/>
      <c r="D8" s="544"/>
      <c r="E8" s="550"/>
      <c r="F8" s="550"/>
      <c r="G8" s="550"/>
    </row>
    <row r="9" spans="1:7" ht="18.75" customHeight="1" x14ac:dyDescent="0.25">
      <c r="A9" s="550"/>
      <c r="B9" s="550"/>
      <c r="C9" s="550"/>
      <c r="D9" s="544"/>
      <c r="E9" s="534"/>
      <c r="F9" s="534"/>
      <c r="G9" s="534"/>
    </row>
    <row r="10" spans="1:7" ht="18.75" customHeight="1" x14ac:dyDescent="0.25">
      <c r="A10" s="534"/>
      <c r="B10" s="534"/>
      <c r="C10" s="534"/>
      <c r="D10" s="545"/>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863</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872</v>
      </c>
      <c r="C13" s="7"/>
      <c r="D13" s="220"/>
      <c r="E13" s="382" t="str">
        <f t="shared" si="0"/>
        <v/>
      </c>
      <c r="F13" s="382" t="str">
        <f t="shared" si="1"/>
        <v/>
      </c>
      <c r="G13" s="382" t="str">
        <f t="shared" si="2"/>
        <v/>
      </c>
    </row>
    <row r="14" spans="1:7" x14ac:dyDescent="0.25">
      <c r="A14" s="37">
        <v>3</v>
      </c>
      <c r="B14" s="7" t="s">
        <v>872</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A9" zoomScaleNormal="100" workbookViewId="0">
      <selection activeCell="Q13" sqref="Q13:Q14"/>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Mecanică</v>
      </c>
      <c r="E2" s="61"/>
      <c r="F2" s="63"/>
      <c r="G2" s="62"/>
      <c r="H2" s="289"/>
      <c r="J2" s="63"/>
      <c r="K2" s="63"/>
      <c r="L2" s="63"/>
      <c r="M2" s="63"/>
      <c r="N2" s="63"/>
      <c r="O2" s="63"/>
    </row>
    <row r="3" spans="1:15" s="60" customFormat="1" x14ac:dyDescent="0.2">
      <c r="A3" s="346" t="str">
        <f>IF(ISBLANK(departament),"","Departamentul " &amp; departament)</f>
        <v>Departamentul Ingineria Materialelor și Fabricației</v>
      </c>
      <c r="E3" s="61"/>
      <c r="F3" s="63"/>
      <c r="G3" s="62"/>
      <c r="H3" s="289"/>
      <c r="J3" s="63"/>
      <c r="K3" s="63"/>
      <c r="L3" s="63"/>
      <c r="M3" s="63"/>
      <c r="N3" s="63"/>
      <c r="O3" s="63"/>
    </row>
    <row r="4" spans="1:15" x14ac:dyDescent="0.25">
      <c r="A4" s="535" t="s">
        <v>836</v>
      </c>
      <c r="B4" s="535"/>
      <c r="C4" s="535"/>
      <c r="D4" s="535"/>
      <c r="E4" s="535"/>
      <c r="F4" s="535"/>
      <c r="G4" s="290"/>
      <c r="H4" s="291"/>
    </row>
    <row r="5" spans="1:15" x14ac:dyDescent="0.25">
      <c r="A5" s="535" t="s">
        <v>873</v>
      </c>
      <c r="B5" s="535"/>
      <c r="C5" s="535"/>
      <c r="D5" s="535"/>
      <c r="E5" s="535"/>
      <c r="F5" s="535"/>
      <c r="G5" s="226"/>
    </row>
    <row r="6" spans="1:15" ht="13.5" customHeight="1" x14ac:dyDescent="0.25">
      <c r="E6" s="64"/>
      <c r="F6" s="347" t="str">
        <f>CONCATENATE(functie," ",nume_candidat)</f>
        <v>Conferențiar Codrean Cosmin</v>
      </c>
      <c r="J6" s="380" t="s">
        <v>785</v>
      </c>
      <c r="K6" s="380" t="s">
        <v>785</v>
      </c>
      <c r="L6" s="380" t="s">
        <v>785</v>
      </c>
      <c r="M6" s="380" t="s">
        <v>786</v>
      </c>
      <c r="N6" s="380" t="s">
        <v>786</v>
      </c>
      <c r="O6" s="380" t="s">
        <v>786</v>
      </c>
    </row>
    <row r="7" spans="1:15" ht="18.75" customHeight="1" x14ac:dyDescent="0.25">
      <c r="A7" s="533" t="s">
        <v>338</v>
      </c>
      <c r="B7" s="543" t="s">
        <v>875</v>
      </c>
      <c r="C7" s="543" t="s">
        <v>782</v>
      </c>
      <c r="D7" s="543" t="s">
        <v>843</v>
      </c>
      <c r="E7" s="543" t="s">
        <v>2</v>
      </c>
      <c r="F7" s="533" t="s">
        <v>544</v>
      </c>
      <c r="G7" s="533" t="s">
        <v>4</v>
      </c>
      <c r="H7" s="554" t="s">
        <v>541</v>
      </c>
      <c r="I7" s="540" t="s">
        <v>551</v>
      </c>
      <c r="J7" s="533" t="s">
        <v>754</v>
      </c>
      <c r="K7" s="533" t="s">
        <v>755</v>
      </c>
      <c r="L7" s="533" t="s">
        <v>756</v>
      </c>
      <c r="M7" s="533" t="s">
        <v>754</v>
      </c>
      <c r="N7" s="533" t="s">
        <v>755</v>
      </c>
      <c r="O7" s="533" t="s">
        <v>756</v>
      </c>
    </row>
    <row r="8" spans="1:15" ht="18.75" customHeight="1" x14ac:dyDescent="0.25">
      <c r="A8" s="550"/>
      <c r="B8" s="544"/>
      <c r="C8" s="544"/>
      <c r="D8" s="544"/>
      <c r="E8" s="544"/>
      <c r="F8" s="550"/>
      <c r="G8" s="550"/>
      <c r="H8" s="555"/>
      <c r="I8" s="540"/>
      <c r="J8" s="550"/>
      <c r="K8" s="550"/>
      <c r="L8" s="550"/>
      <c r="M8" s="550"/>
      <c r="N8" s="550"/>
      <c r="O8" s="550"/>
    </row>
    <row r="9" spans="1:15" ht="18.75" customHeight="1" x14ac:dyDescent="0.25">
      <c r="A9" s="550"/>
      <c r="B9" s="544"/>
      <c r="C9" s="544"/>
      <c r="D9" s="544"/>
      <c r="E9" s="544"/>
      <c r="F9" s="534"/>
      <c r="G9" s="534"/>
      <c r="H9" s="555"/>
      <c r="I9" s="540"/>
      <c r="J9" s="534"/>
      <c r="K9" s="534"/>
      <c r="L9" s="534"/>
      <c r="M9" s="534"/>
      <c r="N9" s="534"/>
      <c r="O9" s="534"/>
    </row>
    <row r="10" spans="1:15" ht="18.75" customHeight="1" x14ac:dyDescent="0.25">
      <c r="A10" s="534"/>
      <c r="B10" s="545"/>
      <c r="C10" s="545"/>
      <c r="D10" s="545"/>
      <c r="E10" s="545"/>
      <c r="F10" s="348" t="str">
        <f>CONCATENATE("ultimii ",durata_evaluare," ani")</f>
        <v>ultimii 5 ani</v>
      </c>
      <c r="G10" s="348" t="str">
        <f>CONCATENATE("ultimii                                  ",durata_evaluare," ani")</f>
        <v>ultimii                                  5 ani</v>
      </c>
      <c r="H10" s="556"/>
      <c r="I10" s="540"/>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4</v>
      </c>
      <c r="G11" s="4">
        <f>SUMIF(G12:G1110,"&gt;0")</f>
        <v>2</v>
      </c>
      <c r="H11" s="298"/>
      <c r="J11" s="148">
        <f t="shared" ref="J11:O11" si="1">SUMIF(J12:J1110,"&gt;0")</f>
        <v>0</v>
      </c>
      <c r="K11" s="148">
        <f t="shared" si="1"/>
        <v>0</v>
      </c>
      <c r="L11" s="148">
        <f t="shared" si="1"/>
        <v>0</v>
      </c>
      <c r="M11" s="148">
        <f t="shared" si="1"/>
        <v>0</v>
      </c>
      <c r="N11" s="148">
        <f t="shared" si="1"/>
        <v>4</v>
      </c>
      <c r="O11" s="148">
        <f t="shared" si="1"/>
        <v>0</v>
      </c>
    </row>
    <row r="12" spans="1:15" ht="31.5" x14ac:dyDescent="0.25">
      <c r="A12" s="37">
        <v>1</v>
      </c>
      <c r="B12" s="380" t="s">
        <v>1414</v>
      </c>
      <c r="C12" s="380" t="s">
        <v>786</v>
      </c>
      <c r="D12" s="380" t="s">
        <v>755</v>
      </c>
      <c r="E12" s="509">
        <v>2015</v>
      </c>
      <c r="F12" s="16">
        <f t="shared" ref="F12:F75" si="2">IF(OR($B12="",$C12="",$E12&lt;an_initial,$E12&gt;an_final),"",G12 * (INDEX(iii8punctaje, MATCH(C12,iii8anvergură,0), MATCH(D12,iii8tip,0) )) )</f>
        <v>2</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2</v>
      </c>
      <c r="O12" s="382">
        <f t="shared" ref="O12:O75" si="11">IF(OR($B12="",$C12="",$E12&lt;an_initial,$E12&gt;an_final),"",G12*(INDEX(iii8punctaje,MATCH(C12,iii8anvergură,0),MATCH(D12,iii8tip,0)))*COUNTIFS(C12,$O$6,D12,$O$7))</f>
        <v>0</v>
      </c>
    </row>
    <row r="13" spans="1:15" x14ac:dyDescent="0.25">
      <c r="A13" s="37">
        <v>2</v>
      </c>
      <c r="B13" s="380" t="s">
        <v>1415</v>
      </c>
      <c r="C13" s="380" t="s">
        <v>786</v>
      </c>
      <c r="D13" s="380" t="s">
        <v>755</v>
      </c>
      <c r="E13" s="509">
        <v>2015</v>
      </c>
      <c r="F13" s="16">
        <f t="shared" si="2"/>
        <v>2</v>
      </c>
      <c r="G13" s="58">
        <f t="shared" si="3"/>
        <v>1</v>
      </c>
      <c r="H13" s="349" t="b">
        <f t="shared" si="4"/>
        <v>0</v>
      </c>
      <c r="I13" s="350">
        <f t="shared" si="5"/>
        <v>1</v>
      </c>
      <c r="J13" s="382">
        <f t="shared" si="6"/>
        <v>0</v>
      </c>
      <c r="K13" s="382">
        <f t="shared" si="7"/>
        <v>0</v>
      </c>
      <c r="L13" s="382">
        <f t="shared" si="8"/>
        <v>0</v>
      </c>
      <c r="M13" s="382">
        <f t="shared" si="9"/>
        <v>0</v>
      </c>
      <c r="N13" s="382">
        <f t="shared" si="10"/>
        <v>2</v>
      </c>
      <c r="O13" s="382">
        <f t="shared" si="11"/>
        <v>0</v>
      </c>
    </row>
    <row r="14" spans="1:15" x14ac:dyDescent="0.25">
      <c r="A14" s="37">
        <v>3</v>
      </c>
      <c r="B14" s="7"/>
      <c r="C14" s="7"/>
      <c r="D14" s="7"/>
      <c r="E14" s="220"/>
      <c r="F14" s="16" t="str">
        <f t="shared" si="2"/>
        <v/>
      </c>
      <c r="G14" s="58" t="str">
        <f t="shared" si="3"/>
        <v/>
      </c>
      <c r="H14" s="349" t="b">
        <f t="shared" si="4"/>
        <v>0</v>
      </c>
      <c r="I14" s="350">
        <f t="shared" si="5"/>
        <v>1</v>
      </c>
      <c r="J14" s="382" t="str">
        <f t="shared" si="6"/>
        <v/>
      </c>
      <c r="K14" s="382" t="str">
        <f t="shared" si="7"/>
        <v/>
      </c>
      <c r="L14" s="382" t="str">
        <f t="shared" si="8"/>
        <v/>
      </c>
      <c r="M14" s="382" t="str">
        <f t="shared" si="9"/>
        <v/>
      </c>
      <c r="N14" s="382" t="str">
        <f t="shared" si="10"/>
        <v/>
      </c>
      <c r="O14" s="382" t="str">
        <f t="shared" si="11"/>
        <v/>
      </c>
    </row>
    <row r="15" spans="1:15" x14ac:dyDescent="0.2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x14ac:dyDescent="0.2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P17" sqref="P17"/>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9"/>
      <c r="I1" s="63"/>
      <c r="J1" s="63"/>
    </row>
    <row r="2" spans="1:10" s="60" customFormat="1" x14ac:dyDescent="0.2">
      <c r="A2" s="346" t="str">
        <f>IF(ISBLANK(facultate), IF(ISBLANK(departament),"","Departament " &amp; departament), "Facultatea " &amp; facultate)</f>
        <v>Facultatea Mecanică</v>
      </c>
      <c r="D2" s="61"/>
      <c r="E2" s="63"/>
      <c r="F2" s="62"/>
      <c r="G2" s="289"/>
      <c r="I2" s="63"/>
      <c r="J2" s="63"/>
    </row>
    <row r="3" spans="1:10" s="60" customFormat="1" x14ac:dyDescent="0.2">
      <c r="A3" s="346" t="str">
        <f>IF(ISBLANK(departament),"","Departamentul " &amp; departament)</f>
        <v>Departamentul Ingineria Materialelor și Fabricației</v>
      </c>
      <c r="D3" s="61"/>
      <c r="E3" s="63"/>
      <c r="F3" s="62"/>
      <c r="G3" s="289"/>
      <c r="I3" s="63"/>
      <c r="J3" s="63"/>
    </row>
    <row r="4" spans="1:10" x14ac:dyDescent="0.25">
      <c r="A4" s="535" t="s">
        <v>836</v>
      </c>
      <c r="B4" s="535"/>
      <c r="C4" s="535"/>
      <c r="D4" s="535"/>
      <c r="E4" s="535"/>
      <c r="F4" s="535"/>
      <c r="G4" s="535"/>
    </row>
    <row r="5" spans="1:10" x14ac:dyDescent="0.25">
      <c r="A5" s="535" t="s">
        <v>1078</v>
      </c>
      <c r="B5" s="535"/>
      <c r="C5" s="535"/>
      <c r="D5" s="535"/>
      <c r="E5" s="535"/>
      <c r="F5" s="226"/>
    </row>
    <row r="6" spans="1:10" ht="13.5" customHeight="1" x14ac:dyDescent="0.25">
      <c r="D6" s="64"/>
      <c r="E6" s="347" t="str">
        <f>CONCATENATE(functie," ",nume_candidat)</f>
        <v>Conferențiar Codrean Cosmin</v>
      </c>
      <c r="I6" s="347"/>
      <c r="J6" s="347"/>
    </row>
    <row r="7" spans="1:10" ht="18.75" customHeight="1" x14ac:dyDescent="0.25">
      <c r="A7" s="533" t="s">
        <v>338</v>
      </c>
      <c r="B7" s="533" t="s">
        <v>876</v>
      </c>
      <c r="C7" s="533" t="s">
        <v>843</v>
      </c>
      <c r="D7" s="543" t="s">
        <v>2</v>
      </c>
      <c r="E7" s="533" t="s">
        <v>544</v>
      </c>
      <c r="F7" s="533" t="s">
        <v>4</v>
      </c>
      <c r="G7" s="554" t="s">
        <v>541</v>
      </c>
      <c r="H7" s="540" t="s">
        <v>551</v>
      </c>
      <c r="I7" s="533" t="s">
        <v>878</v>
      </c>
      <c r="J7" s="533" t="s">
        <v>462</v>
      </c>
    </row>
    <row r="8" spans="1:10" ht="18.75" customHeight="1" x14ac:dyDescent="0.25">
      <c r="A8" s="550"/>
      <c r="B8" s="550"/>
      <c r="C8" s="550"/>
      <c r="D8" s="544"/>
      <c r="E8" s="550"/>
      <c r="F8" s="550"/>
      <c r="G8" s="555"/>
      <c r="H8" s="540"/>
      <c r="I8" s="550"/>
      <c r="J8" s="550"/>
    </row>
    <row r="9" spans="1:10" ht="18.75" customHeight="1" x14ac:dyDescent="0.25">
      <c r="A9" s="550"/>
      <c r="B9" s="550"/>
      <c r="C9" s="550"/>
      <c r="D9" s="544"/>
      <c r="E9" s="534"/>
      <c r="F9" s="534"/>
      <c r="G9" s="555"/>
      <c r="H9" s="540"/>
      <c r="I9" s="534"/>
      <c r="J9" s="534"/>
    </row>
    <row r="10" spans="1:10" ht="18.75" customHeight="1" x14ac:dyDescent="0.25">
      <c r="A10" s="534"/>
      <c r="B10" s="534"/>
      <c r="C10" s="534"/>
      <c r="D10" s="545"/>
      <c r="E10" s="348" t="str">
        <f>CONCATENATE("ultimii ",durata_evaluare," ani")</f>
        <v>ultimii 5 ani</v>
      </c>
      <c r="F10" s="348" t="str">
        <f>CONCATENATE("ultimii                                  ",durata_evaluare," ani")</f>
        <v>ultimii                                  5 ani</v>
      </c>
      <c r="G10" s="556"/>
      <c r="H10" s="540"/>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L18" sqref="L18"/>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Ingineria Materialelor și Fabricației</v>
      </c>
      <c r="C3" s="61"/>
      <c r="D3" s="63"/>
      <c r="E3" s="62"/>
      <c r="F3" s="289"/>
    </row>
    <row r="4" spans="1:7" x14ac:dyDescent="0.25">
      <c r="A4" s="535" t="s">
        <v>836</v>
      </c>
      <c r="B4" s="535"/>
      <c r="C4" s="535"/>
      <c r="D4" s="535"/>
      <c r="E4" s="535"/>
      <c r="F4" s="535"/>
    </row>
    <row r="5" spans="1:7" x14ac:dyDescent="0.25">
      <c r="A5" s="535" t="s">
        <v>879</v>
      </c>
      <c r="B5" s="535"/>
      <c r="C5" s="535"/>
      <c r="D5" s="535"/>
      <c r="E5" s="226"/>
    </row>
    <row r="6" spans="1:7" ht="13.5" customHeight="1" x14ac:dyDescent="0.25">
      <c r="C6" s="64"/>
      <c r="D6" s="299" t="str">
        <f>CONCATENATE(functie," ",nume_candidat)</f>
        <v>Conferențiar Codrean Cosmin</v>
      </c>
    </row>
    <row r="7" spans="1:7" ht="18.75" customHeight="1" x14ac:dyDescent="0.25">
      <c r="A7" s="533" t="s">
        <v>338</v>
      </c>
      <c r="B7" s="533" t="s">
        <v>880</v>
      </c>
      <c r="C7" s="543" t="s">
        <v>2</v>
      </c>
      <c r="D7" s="533" t="s">
        <v>544</v>
      </c>
      <c r="E7" s="533" t="s">
        <v>4</v>
      </c>
      <c r="F7" s="554" t="s">
        <v>541</v>
      </c>
      <c r="G7" s="540" t="s">
        <v>551</v>
      </c>
    </row>
    <row r="8" spans="1:7" ht="18.75" customHeight="1" x14ac:dyDescent="0.25">
      <c r="A8" s="550"/>
      <c r="B8" s="550"/>
      <c r="C8" s="544"/>
      <c r="D8" s="550"/>
      <c r="E8" s="550"/>
      <c r="F8" s="555"/>
      <c r="G8" s="540"/>
    </row>
    <row r="9" spans="1:7" ht="18.75" customHeight="1" x14ac:dyDescent="0.25">
      <c r="A9" s="550"/>
      <c r="B9" s="550"/>
      <c r="C9" s="544"/>
      <c r="D9" s="534"/>
      <c r="E9" s="534"/>
      <c r="F9" s="555"/>
      <c r="G9" s="540"/>
    </row>
    <row r="10" spans="1:7" ht="18.75" customHeight="1" x14ac:dyDescent="0.25">
      <c r="A10" s="534"/>
      <c r="B10" s="534"/>
      <c r="C10" s="545"/>
      <c r="D10" s="300" t="str">
        <f>CONCATENATE("ultimii ",durata_evaluare," ani")</f>
        <v>ultimii 5 ani</v>
      </c>
      <c r="E10" s="300" t="str">
        <f>CONCATENATE("ultimii                                  ",durata_evaluare," ani")</f>
        <v>ultimii                                  5 ani</v>
      </c>
      <c r="F10" s="556"/>
      <c r="G10" s="540"/>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L16" sqref="L16"/>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Ingineria Materialelor și Fabricației</v>
      </c>
      <c r="C3" s="61"/>
      <c r="D3" s="63"/>
      <c r="E3" s="62"/>
      <c r="F3" s="289"/>
    </row>
    <row r="4" spans="1:7" x14ac:dyDescent="0.25">
      <c r="A4" s="535" t="s">
        <v>836</v>
      </c>
      <c r="B4" s="535"/>
      <c r="C4" s="535"/>
      <c r="D4" s="535"/>
      <c r="E4" s="535"/>
      <c r="F4" s="535"/>
    </row>
    <row r="5" spans="1:7" x14ac:dyDescent="0.25">
      <c r="A5" s="535" t="s">
        <v>881</v>
      </c>
      <c r="B5" s="535"/>
      <c r="C5" s="535"/>
      <c r="D5" s="535"/>
      <c r="E5" s="226"/>
    </row>
    <row r="6" spans="1:7" ht="13.5" customHeight="1" x14ac:dyDescent="0.25">
      <c r="C6" s="64"/>
      <c r="D6" s="347" t="str">
        <f>CONCATENATE(functie," ",nume_candidat)</f>
        <v>Conferențiar Codrean Cosmin</v>
      </c>
    </row>
    <row r="7" spans="1:7" ht="18.75" customHeight="1" x14ac:dyDescent="0.25">
      <c r="A7" s="533" t="s">
        <v>338</v>
      </c>
      <c r="B7" s="533" t="s">
        <v>880</v>
      </c>
      <c r="C7" s="543" t="s">
        <v>2</v>
      </c>
      <c r="D7" s="533" t="s">
        <v>544</v>
      </c>
      <c r="E7" s="533" t="s">
        <v>4</v>
      </c>
      <c r="F7" s="554" t="s">
        <v>541</v>
      </c>
      <c r="G7" s="540" t="s">
        <v>551</v>
      </c>
    </row>
    <row r="8" spans="1:7" ht="18.75" customHeight="1" x14ac:dyDescent="0.25">
      <c r="A8" s="550"/>
      <c r="B8" s="550"/>
      <c r="C8" s="544"/>
      <c r="D8" s="550"/>
      <c r="E8" s="550"/>
      <c r="F8" s="555"/>
      <c r="G8" s="540"/>
    </row>
    <row r="9" spans="1:7" ht="18.75" customHeight="1" x14ac:dyDescent="0.25">
      <c r="A9" s="550"/>
      <c r="B9" s="550"/>
      <c r="C9" s="544"/>
      <c r="D9" s="534"/>
      <c r="E9" s="534"/>
      <c r="F9" s="555"/>
      <c r="G9" s="540"/>
    </row>
    <row r="10" spans="1:7" ht="18.75" customHeight="1" x14ac:dyDescent="0.25">
      <c r="A10" s="534"/>
      <c r="B10" s="534"/>
      <c r="C10" s="545"/>
      <c r="D10" s="348" t="str">
        <f>CONCATENATE("ultimii ",durata_evaluare," ani")</f>
        <v>ultimii 5 ani</v>
      </c>
      <c r="E10" s="348" t="str">
        <f>CONCATENATE("ultimii                                  ",durata_evaluare," ani")</f>
        <v>ultimii                                  5 ani</v>
      </c>
      <c r="F10" s="556"/>
      <c r="G10" s="540"/>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G18" sqref="G18"/>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Mecanică</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Ingineria Materialelor și Fabricației</v>
      </c>
      <c r="B3" s="64"/>
      <c r="C3" s="64"/>
      <c r="D3" s="64"/>
      <c r="E3" s="71"/>
      <c r="F3" s="71"/>
      <c r="G3" s="64"/>
      <c r="H3" s="68"/>
      <c r="I3" s="69"/>
      <c r="J3" s="64"/>
      <c r="K3" s="68"/>
      <c r="L3" s="64"/>
      <c r="M3" s="289"/>
      <c r="N3" s="289"/>
    </row>
    <row r="4" spans="1:14" s="64" customFormat="1" ht="15.75" x14ac:dyDescent="0.25">
      <c r="A4" s="535" t="s">
        <v>784</v>
      </c>
      <c r="B4" s="535"/>
      <c r="C4" s="535"/>
      <c r="D4" s="535"/>
      <c r="E4" s="535"/>
      <c r="F4" s="535"/>
      <c r="G4" s="535"/>
      <c r="H4" s="535"/>
      <c r="I4" s="535"/>
      <c r="J4" s="535"/>
      <c r="K4" s="535"/>
      <c r="L4" s="535"/>
      <c r="M4" s="291"/>
    </row>
    <row r="5" spans="1:14" s="64" customFormat="1" ht="15.75" x14ac:dyDescent="0.25">
      <c r="A5" s="535" t="s">
        <v>1015</v>
      </c>
      <c r="B5" s="535"/>
      <c r="C5" s="535"/>
      <c r="D5" s="535"/>
      <c r="E5" s="535"/>
      <c r="F5" s="535"/>
      <c r="G5" s="535"/>
      <c r="H5" s="535"/>
      <c r="I5" s="535"/>
      <c r="J5" s="535"/>
      <c r="K5" s="535"/>
      <c r="L5" s="535"/>
      <c r="M5" s="71"/>
    </row>
    <row r="6" spans="1:14" s="60" customFormat="1" ht="13.5" customHeight="1" x14ac:dyDescent="0.2">
      <c r="E6" s="61"/>
      <c r="F6" s="61"/>
      <c r="H6" s="62"/>
      <c r="I6" s="63"/>
      <c r="K6" s="62"/>
      <c r="M6" s="289"/>
      <c r="N6" s="289"/>
    </row>
    <row r="7" spans="1:14" s="64" customFormat="1" ht="18.75" customHeight="1" x14ac:dyDescent="0.25">
      <c r="A7" s="532" t="s">
        <v>338</v>
      </c>
      <c r="B7" s="532" t="s">
        <v>41</v>
      </c>
      <c r="C7" s="533" t="s">
        <v>543</v>
      </c>
      <c r="D7" s="532" t="s">
        <v>42</v>
      </c>
      <c r="E7" s="536" t="s">
        <v>44</v>
      </c>
      <c r="F7" s="537"/>
      <c r="G7" s="532" t="s">
        <v>16</v>
      </c>
      <c r="H7" s="533" t="s">
        <v>17</v>
      </c>
      <c r="I7" s="538" t="s">
        <v>2</v>
      </c>
      <c r="J7" s="532" t="s">
        <v>47</v>
      </c>
      <c r="K7" s="533" t="s">
        <v>43</v>
      </c>
      <c r="L7" s="533" t="s">
        <v>544</v>
      </c>
      <c r="M7" s="533" t="s">
        <v>541</v>
      </c>
      <c r="N7" s="292"/>
    </row>
    <row r="8" spans="1:14" s="64" customFormat="1" ht="40.5" customHeight="1" x14ac:dyDescent="0.25">
      <c r="A8" s="532"/>
      <c r="B8" s="532"/>
      <c r="C8" s="534"/>
      <c r="D8" s="532"/>
      <c r="E8" s="213" t="s">
        <v>45</v>
      </c>
      <c r="F8" s="213" t="s">
        <v>46</v>
      </c>
      <c r="G8" s="532"/>
      <c r="H8" s="534"/>
      <c r="I8" s="538"/>
      <c r="J8" s="532"/>
      <c r="K8" s="534"/>
      <c r="L8" s="534"/>
      <c r="M8" s="534"/>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N17" sqref="N17"/>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1" t="str">
        <f>IF(ISBLANK(facultate), IF(ISBLANK(departament),"","Departament " &amp; departament), "Facultatea " &amp; facultate)</f>
        <v>Facultatea Mecanică</v>
      </c>
      <c r="C2" s="61"/>
      <c r="D2" s="63"/>
      <c r="E2" s="50"/>
      <c r="F2" s="62"/>
      <c r="G2"/>
    </row>
    <row r="3" spans="1:7" s="60" customFormat="1" x14ac:dyDescent="0.25">
      <c r="A3" s="151" t="str">
        <f>IF(ISBLANK(departament),"","Departamentul " &amp; departament)</f>
        <v>Departamentul Ingineria Materialelor și Fabricației</v>
      </c>
      <c r="C3" s="61"/>
      <c r="D3" s="63"/>
      <c r="E3" s="50"/>
      <c r="F3" s="62"/>
      <c r="G3"/>
    </row>
    <row r="4" spans="1:7" x14ac:dyDescent="0.25">
      <c r="A4" s="535" t="s">
        <v>836</v>
      </c>
      <c r="B4" s="535"/>
      <c r="C4" s="535"/>
      <c r="D4" s="535"/>
      <c r="E4" s="535"/>
      <c r="F4" s="535"/>
    </row>
    <row r="5" spans="1:7" x14ac:dyDescent="0.25">
      <c r="A5" s="535" t="s">
        <v>882</v>
      </c>
      <c r="B5" s="535"/>
      <c r="C5" s="535"/>
      <c r="D5" s="535"/>
      <c r="E5" s="424"/>
      <c r="F5" s="226"/>
    </row>
    <row r="6" spans="1:7" ht="13.5" customHeight="1" x14ac:dyDescent="0.25">
      <c r="C6" s="64"/>
      <c r="D6" s="347" t="str">
        <f>CONCATENATE(functie," ",nume_candidat)</f>
        <v>Conferențiar Codrean Cosmin</v>
      </c>
      <c r="E6" s="347" t="str">
        <f>CONCATENATE(functie," ",nume_candidat)</f>
        <v>Conferențiar Codrean Cosmin</v>
      </c>
    </row>
    <row r="7" spans="1:7" ht="18.75" customHeight="1" x14ac:dyDescent="0.25">
      <c r="A7" s="533" t="s">
        <v>338</v>
      </c>
      <c r="B7" s="533" t="s">
        <v>890</v>
      </c>
      <c r="C7" s="543" t="s">
        <v>2</v>
      </c>
      <c r="D7" s="533" t="s">
        <v>544</v>
      </c>
      <c r="E7" s="543" t="s">
        <v>1101</v>
      </c>
      <c r="F7" s="533" t="s">
        <v>4</v>
      </c>
    </row>
    <row r="8" spans="1:7" ht="18.75" customHeight="1" x14ac:dyDescent="0.25">
      <c r="A8" s="550"/>
      <c r="B8" s="550"/>
      <c r="C8" s="544"/>
      <c r="D8" s="550"/>
      <c r="E8" s="544"/>
      <c r="F8" s="550"/>
    </row>
    <row r="9" spans="1:7" ht="18.75" customHeight="1" x14ac:dyDescent="0.25">
      <c r="A9" s="550"/>
      <c r="B9" s="550"/>
      <c r="C9" s="544"/>
      <c r="D9" s="534"/>
      <c r="E9" s="544"/>
      <c r="F9" s="534"/>
    </row>
    <row r="10" spans="1:7" ht="18.75" customHeight="1" x14ac:dyDescent="0.25">
      <c r="A10" s="534"/>
      <c r="B10" s="534"/>
      <c r="C10" s="545"/>
      <c r="D10" s="300" t="str">
        <f>CONCATENATE("ultimii ",durata_evaluare," ani")</f>
        <v>ultimii 5 ani</v>
      </c>
      <c r="E10" s="545"/>
      <c r="F10" s="300" t="str">
        <f>CONCATENATE("ultimii                                  ",durata_evaluare," ani")</f>
        <v>ultimii                                  5 ani</v>
      </c>
    </row>
    <row r="11" spans="1:7" x14ac:dyDescent="0.25">
      <c r="A11" s="88"/>
      <c r="B11" s="65"/>
      <c r="C11" s="30"/>
      <c r="D11" s="149">
        <f>SUMIF(D12:D1012,"&gt;0")</f>
        <v>120</v>
      </c>
      <c r="E11" s="436"/>
      <c r="F11" s="75">
        <f>SUMIF(F12:F1110,"&gt;0")</f>
        <v>4</v>
      </c>
    </row>
    <row r="12" spans="1:7" x14ac:dyDescent="0.25">
      <c r="A12" s="37">
        <v>1</v>
      </c>
      <c r="B12" s="380" t="s">
        <v>884</v>
      </c>
      <c r="C12" s="509">
        <v>2015</v>
      </c>
      <c r="D12" s="150">
        <f t="shared" ref="D12:D75" si="0">IF(OR(,$C12&lt;an_initial,$C12&gt;an_final),"",F12*(HLOOKUP(B12,iii12punctaje,2,FALSE)))</f>
        <v>10</v>
      </c>
      <c r="E12" s="37"/>
      <c r="F12" s="76">
        <f t="shared" ref="F12:F43" si="1">IF(OR(,,$C12="",$C12&gt;an_final),"",IF($C12&gt;=an_initial,1,""))</f>
        <v>1</v>
      </c>
    </row>
    <row r="13" spans="1:7" ht="31.5" x14ac:dyDescent="0.25">
      <c r="A13" s="37">
        <v>2</v>
      </c>
      <c r="B13" s="380" t="s">
        <v>883</v>
      </c>
      <c r="C13" s="509">
        <v>2015</v>
      </c>
      <c r="D13" s="150">
        <f t="shared" si="0"/>
        <v>10</v>
      </c>
      <c r="E13" s="37"/>
      <c r="F13" s="76">
        <f t="shared" si="1"/>
        <v>1</v>
      </c>
    </row>
    <row r="14" spans="1:7" x14ac:dyDescent="0.25">
      <c r="A14" s="37">
        <v>3</v>
      </c>
      <c r="B14" s="6" t="s">
        <v>887</v>
      </c>
      <c r="C14" s="507">
        <v>2015</v>
      </c>
      <c r="D14" s="150">
        <f t="shared" si="0"/>
        <v>50</v>
      </c>
      <c r="E14" s="37"/>
      <c r="F14" s="76">
        <f t="shared" si="1"/>
        <v>1</v>
      </c>
    </row>
    <row r="15" spans="1:7" x14ac:dyDescent="0.25">
      <c r="A15" s="37">
        <v>4</v>
      </c>
      <c r="B15" s="6" t="s">
        <v>887</v>
      </c>
      <c r="C15" s="216">
        <v>2019</v>
      </c>
      <c r="D15" s="150">
        <f t="shared" si="0"/>
        <v>50</v>
      </c>
      <c r="E15" s="37"/>
      <c r="F15" s="76">
        <f t="shared" si="1"/>
        <v>1</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J17" sqref="J17"/>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1" t="str">
        <f>IF(ISBLANK(facultate), IF(ISBLANK(departament),"","Departament " &amp; departament), "Facultatea " &amp; facultate)</f>
        <v>Facultatea Mecanică</v>
      </c>
      <c r="B2" s="59"/>
      <c r="D2" s="61"/>
      <c r="E2" s="63"/>
      <c r="F2" s="62"/>
    </row>
    <row r="3" spans="1:6" s="60" customFormat="1" x14ac:dyDescent="0.2">
      <c r="A3" s="151" t="str">
        <f>IF(ISBLANK(departament),"","Departamentul " &amp; departament)</f>
        <v>Departamentul Ingineria Materialelor și Fabricației</v>
      </c>
      <c r="B3" s="59"/>
      <c r="D3" s="61"/>
      <c r="E3" s="63"/>
      <c r="F3" s="62"/>
    </row>
    <row r="4" spans="1:6" x14ac:dyDescent="0.25">
      <c r="A4" s="535" t="s">
        <v>836</v>
      </c>
      <c r="B4" s="535"/>
      <c r="C4" s="535"/>
      <c r="D4" s="535"/>
      <c r="E4" s="535"/>
      <c r="F4" s="535"/>
    </row>
    <row r="5" spans="1:6" x14ac:dyDescent="0.25">
      <c r="A5" s="535" t="s">
        <v>891</v>
      </c>
      <c r="B5" s="535"/>
      <c r="C5" s="535"/>
      <c r="D5" s="535"/>
      <c r="E5" s="535"/>
      <c r="F5" s="226"/>
    </row>
    <row r="6" spans="1:6" ht="13.5" customHeight="1" x14ac:dyDescent="0.25">
      <c r="D6" s="64"/>
      <c r="E6" s="299" t="str">
        <f>CONCATENATE(functie," ",nume_candidat)</f>
        <v>Conferențiar Codrean Cosmin</v>
      </c>
    </row>
    <row r="7" spans="1:6" ht="18.75" customHeight="1" x14ac:dyDescent="0.25">
      <c r="A7" s="533" t="s">
        <v>338</v>
      </c>
      <c r="B7" s="533" t="s">
        <v>892</v>
      </c>
      <c r="C7" s="533" t="s">
        <v>897</v>
      </c>
      <c r="D7" s="543" t="s">
        <v>2</v>
      </c>
      <c r="E7" s="533" t="s">
        <v>544</v>
      </c>
      <c r="F7" s="533" t="s">
        <v>4</v>
      </c>
    </row>
    <row r="8" spans="1:6" ht="18.75" customHeight="1" x14ac:dyDescent="0.25">
      <c r="A8" s="550"/>
      <c r="B8" s="550"/>
      <c r="C8" s="550"/>
      <c r="D8" s="544"/>
      <c r="E8" s="550"/>
      <c r="F8" s="550"/>
    </row>
    <row r="9" spans="1:6" ht="18.75" customHeight="1" x14ac:dyDescent="0.25">
      <c r="A9" s="550"/>
      <c r="B9" s="550"/>
      <c r="C9" s="550"/>
      <c r="D9" s="544"/>
      <c r="E9" s="534"/>
      <c r="F9" s="534"/>
    </row>
    <row r="10" spans="1:6" ht="18.75" customHeight="1" x14ac:dyDescent="0.25">
      <c r="A10" s="534"/>
      <c r="B10" s="534"/>
      <c r="C10" s="534"/>
      <c r="D10" s="545"/>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O14" sqref="O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151" t="str">
        <f>IF(ISBLANK(facultate), IF(ISBLANK(departament),"","Departament " &amp; departament), "Facultatea " &amp; facultate)</f>
        <v>Facultatea Mecanică</v>
      </c>
      <c r="C2" s="61"/>
      <c r="D2" s="63"/>
      <c r="E2" s="50"/>
      <c r="F2" s="62"/>
      <c r="G2" s="289"/>
      <c r="I2"/>
    </row>
    <row r="3" spans="1:9" s="60" customFormat="1" x14ac:dyDescent="0.25">
      <c r="A3" s="151" t="str">
        <f>IF(ISBLANK(departament),"","Departamentul " &amp; departament)</f>
        <v>Departamentul Ingineria Materialelor și Fabricației</v>
      </c>
      <c r="C3" s="61"/>
      <c r="D3" s="63"/>
      <c r="E3" s="50"/>
      <c r="F3" s="62"/>
      <c r="G3" s="289"/>
      <c r="I3"/>
    </row>
    <row r="4" spans="1:9" x14ac:dyDescent="0.25">
      <c r="A4" s="535" t="s">
        <v>836</v>
      </c>
      <c r="B4" s="535"/>
      <c r="C4" s="535"/>
      <c r="D4" s="535"/>
      <c r="E4" s="535"/>
      <c r="F4" s="535"/>
      <c r="G4" s="535"/>
    </row>
    <row r="5" spans="1:9" ht="39.75" customHeight="1" x14ac:dyDescent="0.25">
      <c r="A5" s="541" t="s">
        <v>898</v>
      </c>
      <c r="B5" s="541"/>
      <c r="C5" s="541"/>
      <c r="D5" s="541"/>
      <c r="E5" s="424"/>
      <c r="F5" s="226"/>
    </row>
    <row r="6" spans="1:9" ht="13.5" customHeight="1" x14ac:dyDescent="0.25">
      <c r="C6" s="64"/>
      <c r="D6" s="347" t="str">
        <f>CONCATENATE(functie," ",nume_candidat)</f>
        <v>Conferențiar Codrean Cosmin</v>
      </c>
      <c r="E6" s="347" t="str">
        <f>CONCATENATE(functie," ",nume_candidat)</f>
        <v>Conferențiar Codrean Cosmin</v>
      </c>
    </row>
    <row r="7" spans="1:9" ht="18.75" customHeight="1" x14ac:dyDescent="0.25">
      <c r="A7" s="533" t="s">
        <v>338</v>
      </c>
      <c r="B7" s="533" t="s">
        <v>889</v>
      </c>
      <c r="C7" s="543" t="s">
        <v>2</v>
      </c>
      <c r="D7" s="533" t="s">
        <v>544</v>
      </c>
      <c r="E7" s="543" t="s">
        <v>1101</v>
      </c>
      <c r="F7" s="533" t="s">
        <v>4</v>
      </c>
      <c r="G7" s="554" t="s">
        <v>541</v>
      </c>
      <c r="H7" s="540" t="s">
        <v>551</v>
      </c>
    </row>
    <row r="8" spans="1:9" ht="18.75" customHeight="1" x14ac:dyDescent="0.25">
      <c r="A8" s="550"/>
      <c r="B8" s="550"/>
      <c r="C8" s="544"/>
      <c r="D8" s="550"/>
      <c r="E8" s="544"/>
      <c r="F8" s="550"/>
      <c r="G8" s="555"/>
      <c r="H8" s="540"/>
    </row>
    <row r="9" spans="1:9" ht="18.75" customHeight="1" x14ac:dyDescent="0.25">
      <c r="A9" s="550"/>
      <c r="B9" s="550"/>
      <c r="C9" s="544"/>
      <c r="D9" s="534"/>
      <c r="E9" s="544"/>
      <c r="F9" s="534"/>
      <c r="G9" s="555"/>
      <c r="H9" s="540"/>
    </row>
    <row r="10" spans="1:9" ht="18.75" customHeight="1" x14ac:dyDescent="0.25">
      <c r="A10" s="534"/>
      <c r="B10" s="534"/>
      <c r="C10" s="545"/>
      <c r="D10" s="300" t="str">
        <f>CONCATENATE("ultimii ",durata_evaluare," ani")</f>
        <v>ultimii 5 ani</v>
      </c>
      <c r="E10" s="545"/>
      <c r="F10" s="300" t="str">
        <f>CONCATENATE("ultimii                                  ",durata_evaluare," ani")</f>
        <v>ultimii                                  5 ani</v>
      </c>
      <c r="G10" s="556"/>
      <c r="H10" s="540"/>
    </row>
    <row r="11" spans="1:9" x14ac:dyDescent="0.25">
      <c r="A11" s="88"/>
      <c r="B11" s="65"/>
      <c r="C11" s="30"/>
      <c r="D11" s="149">
        <f>SUMIF(D12:D1012,"&gt;0")</f>
        <v>150</v>
      </c>
      <c r="E11" s="436"/>
      <c r="F11" s="75">
        <f>SUMIF(F12:F1110,"&gt;0")</f>
        <v>3</v>
      </c>
      <c r="G11" s="298"/>
    </row>
    <row r="12" spans="1:9" ht="31.5" x14ac:dyDescent="0.25">
      <c r="A12" s="37">
        <v>1</v>
      </c>
      <c r="B12" s="380" t="s">
        <v>1416</v>
      </c>
      <c r="C12" s="509">
        <v>2015</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3</v>
      </c>
    </row>
    <row r="13" spans="1:9" ht="31.5" x14ac:dyDescent="0.25">
      <c r="A13" s="37">
        <v>2</v>
      </c>
      <c r="B13" s="7" t="s">
        <v>1416</v>
      </c>
      <c r="C13" s="220">
        <v>2018</v>
      </c>
      <c r="D13" s="150">
        <f t="shared" si="0"/>
        <v>50</v>
      </c>
      <c r="E13" s="37"/>
      <c r="F13" s="76">
        <f t="shared" si="1"/>
        <v>1</v>
      </c>
      <c r="G13" s="72" t="b">
        <f t="shared" si="2"/>
        <v>0</v>
      </c>
      <c r="H13" s="73">
        <f t="shared" si="3"/>
        <v>3</v>
      </c>
    </row>
    <row r="14" spans="1:9" ht="31.5" x14ac:dyDescent="0.25">
      <c r="A14" s="37">
        <v>3</v>
      </c>
      <c r="B14" s="7" t="s">
        <v>1416</v>
      </c>
      <c r="C14" s="220">
        <v>2019</v>
      </c>
      <c r="D14" s="150">
        <f t="shared" si="0"/>
        <v>50</v>
      </c>
      <c r="E14" s="37"/>
      <c r="F14" s="76">
        <f t="shared" si="1"/>
        <v>1</v>
      </c>
      <c r="G14" s="72" t="b">
        <f t="shared" si="2"/>
        <v>0</v>
      </c>
      <c r="H14" s="73">
        <f t="shared" si="3"/>
        <v>3</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M16" sqref="M16"/>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151" t="str">
        <f>IF(ISBLANK(facultate), IF(ISBLANK(departament),"","Departament " &amp; departament), "Facultatea " &amp; facultate)</f>
        <v>Facultatea Mecanică</v>
      </c>
      <c r="D2" s="61"/>
      <c r="E2" s="63"/>
      <c r="F2" s="50"/>
      <c r="G2" s="62"/>
      <c r="H2" s="289"/>
      <c r="J2"/>
    </row>
    <row r="3" spans="1:10" s="60" customFormat="1" x14ac:dyDescent="0.25">
      <c r="A3" s="151" t="str">
        <f>IF(ISBLANK(departament),"","Departamentul " &amp; departament)</f>
        <v>Departamentul Ingineria Materialelor și Fabricației</v>
      </c>
      <c r="D3" s="61"/>
      <c r="E3" s="63"/>
      <c r="F3" s="50"/>
      <c r="G3" s="62"/>
      <c r="H3" s="289"/>
      <c r="J3"/>
    </row>
    <row r="4" spans="1:10" x14ac:dyDescent="0.25">
      <c r="A4" s="535" t="s">
        <v>836</v>
      </c>
      <c r="B4" s="535"/>
      <c r="C4" s="535"/>
      <c r="D4" s="535"/>
      <c r="E4" s="535"/>
      <c r="F4" s="535"/>
      <c r="G4" s="535"/>
      <c r="H4" s="535"/>
    </row>
    <row r="5" spans="1:10" ht="51.75" customHeight="1" x14ac:dyDescent="0.25">
      <c r="A5" s="541" t="s">
        <v>900</v>
      </c>
      <c r="B5" s="541"/>
      <c r="C5" s="541"/>
      <c r="D5" s="541"/>
      <c r="E5" s="541"/>
      <c r="F5" s="424"/>
      <c r="G5" s="226"/>
    </row>
    <row r="6" spans="1:10" ht="13.5" customHeight="1" x14ac:dyDescent="0.25">
      <c r="D6" s="64"/>
      <c r="E6" s="347" t="str">
        <f>CONCATENATE(functie," ",nume_candidat)</f>
        <v>Conferențiar Codrean Cosmin</v>
      </c>
      <c r="F6" s="347" t="str">
        <f>CONCATENATE(functie," ",nume_candidat)</f>
        <v>Conferențiar Codrean Cosmin</v>
      </c>
    </row>
    <row r="7" spans="1:10" ht="18.75" customHeight="1" x14ac:dyDescent="0.25">
      <c r="A7" s="533" t="s">
        <v>338</v>
      </c>
      <c r="B7" s="533" t="s">
        <v>901</v>
      </c>
      <c r="C7" s="533" t="s">
        <v>899</v>
      </c>
      <c r="D7" s="543" t="s">
        <v>2</v>
      </c>
      <c r="E7" s="533" t="s">
        <v>544</v>
      </c>
      <c r="F7" s="543" t="s">
        <v>1101</v>
      </c>
      <c r="G7" s="533" t="s">
        <v>4</v>
      </c>
      <c r="H7" s="554" t="s">
        <v>541</v>
      </c>
      <c r="I7" s="540" t="s">
        <v>551</v>
      </c>
    </row>
    <row r="8" spans="1:10" ht="18.75" customHeight="1" x14ac:dyDescent="0.25">
      <c r="A8" s="550"/>
      <c r="B8" s="550"/>
      <c r="C8" s="550"/>
      <c r="D8" s="544"/>
      <c r="E8" s="550"/>
      <c r="F8" s="544"/>
      <c r="G8" s="550"/>
      <c r="H8" s="555"/>
      <c r="I8" s="540"/>
    </row>
    <row r="9" spans="1:10" ht="18.75" customHeight="1" x14ac:dyDescent="0.25">
      <c r="A9" s="550"/>
      <c r="B9" s="550"/>
      <c r="C9" s="550"/>
      <c r="D9" s="544"/>
      <c r="E9" s="534"/>
      <c r="F9" s="544"/>
      <c r="G9" s="534"/>
      <c r="H9" s="555"/>
      <c r="I9" s="540"/>
    </row>
    <row r="10" spans="1:10" ht="18.75" customHeight="1" x14ac:dyDescent="0.25">
      <c r="A10" s="534"/>
      <c r="B10" s="534"/>
      <c r="C10" s="534"/>
      <c r="D10" s="545"/>
      <c r="E10" s="300" t="str">
        <f>CONCATENATE("ultimii ",durata_evaluare," ani")</f>
        <v>ultimii 5 ani</v>
      </c>
      <c r="F10" s="545"/>
      <c r="G10" s="300" t="str">
        <f>CONCATENATE("ultimii                                  ",durata_evaluare," ani")</f>
        <v>ultimii                                  5 ani</v>
      </c>
      <c r="H10" s="556"/>
      <c r="I10" s="540"/>
    </row>
    <row r="11" spans="1:10" x14ac:dyDescent="0.25">
      <c r="A11" s="88"/>
      <c r="B11" s="65"/>
      <c r="C11" s="65"/>
      <c r="D11" s="30"/>
      <c r="E11" s="344">
        <f>SUMIF(E12:E1012,"&gt;0")</f>
        <v>0</v>
      </c>
      <c r="F11" s="436"/>
      <c r="G11" s="75">
        <f>SUMIF(G12:G1110,"&gt;0")</f>
        <v>0</v>
      </c>
      <c r="H11" s="298"/>
    </row>
    <row r="12" spans="1:10" x14ac:dyDescent="0.25">
      <c r="A12" s="37">
        <v>1</v>
      </c>
      <c r="B12" s="7"/>
      <c r="C12" s="192"/>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N16" sqref="N16"/>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Ingineria Materialelor și Fabricației</v>
      </c>
      <c r="C3" s="61"/>
      <c r="D3" s="63"/>
      <c r="E3" s="62"/>
      <c r="F3" s="289"/>
    </row>
    <row r="4" spans="1:7" x14ac:dyDescent="0.25">
      <c r="A4" s="535" t="s">
        <v>836</v>
      </c>
      <c r="B4" s="535"/>
      <c r="C4" s="535"/>
      <c r="D4" s="535"/>
      <c r="E4" s="535"/>
      <c r="F4" s="535"/>
    </row>
    <row r="5" spans="1:7" ht="39.75" customHeight="1" x14ac:dyDescent="0.25">
      <c r="A5" s="541" t="s">
        <v>902</v>
      </c>
      <c r="B5" s="541"/>
      <c r="C5" s="541"/>
      <c r="D5" s="541"/>
      <c r="E5" s="541"/>
    </row>
    <row r="6" spans="1:7" ht="13.5" customHeight="1" x14ac:dyDescent="0.25">
      <c r="C6" s="64"/>
      <c r="D6" s="299" t="str">
        <f>CONCATENATE(functie," ",nume_candidat)</f>
        <v>Conferențiar Codrean Cosmin</v>
      </c>
    </row>
    <row r="7" spans="1:7" ht="18.75" customHeight="1" x14ac:dyDescent="0.25">
      <c r="A7" s="533" t="s">
        <v>338</v>
      </c>
      <c r="B7" s="533" t="s">
        <v>889</v>
      </c>
      <c r="C7" s="543" t="s">
        <v>2</v>
      </c>
      <c r="D7" s="533" t="s">
        <v>544</v>
      </c>
      <c r="E7" s="533" t="s">
        <v>4</v>
      </c>
      <c r="F7" s="554" t="s">
        <v>541</v>
      </c>
      <c r="G7" s="540" t="s">
        <v>551</v>
      </c>
    </row>
    <row r="8" spans="1:7" ht="18.75" customHeight="1" x14ac:dyDescent="0.25">
      <c r="A8" s="550"/>
      <c r="B8" s="550"/>
      <c r="C8" s="544"/>
      <c r="D8" s="550"/>
      <c r="E8" s="550"/>
      <c r="F8" s="555"/>
      <c r="G8" s="540"/>
    </row>
    <row r="9" spans="1:7" ht="18.75" customHeight="1" x14ac:dyDescent="0.25">
      <c r="A9" s="550"/>
      <c r="B9" s="550"/>
      <c r="C9" s="544"/>
      <c r="D9" s="534"/>
      <c r="E9" s="534"/>
      <c r="F9" s="555"/>
      <c r="G9" s="540"/>
    </row>
    <row r="10" spans="1:7" ht="18.75" customHeight="1" x14ac:dyDescent="0.25">
      <c r="A10" s="534"/>
      <c r="B10" s="534"/>
      <c r="C10" s="545"/>
      <c r="D10" s="300" t="str">
        <f>CONCATENATE("ultimii ",durata_evaluare," ani")</f>
        <v>ultimii 5 ani</v>
      </c>
      <c r="E10" s="300" t="str">
        <f>CONCATENATE("ultimii                                  ",durata_evaluare," ani")</f>
        <v>ultimii                                  5 ani</v>
      </c>
      <c r="F10" s="556"/>
      <c r="G10" s="540"/>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555</v>
      </c>
    </row>
    <row r="4" spans="1:2" ht="30" x14ac:dyDescent="0.25">
      <c r="A4" s="137" t="s">
        <v>91</v>
      </c>
      <c r="B4" s="138" t="s">
        <v>320</v>
      </c>
    </row>
    <row r="5" spans="1:2" ht="15.75" x14ac:dyDescent="0.25">
      <c r="A5" s="156">
        <v>1</v>
      </c>
      <c r="B5" s="139" t="s">
        <v>367</v>
      </c>
    </row>
    <row r="6" spans="1:2" ht="15.75" x14ac:dyDescent="0.25">
      <c r="A6" s="156">
        <v>2</v>
      </c>
      <c r="B6" s="139" t="s">
        <v>368</v>
      </c>
    </row>
    <row r="7" spans="1:2" ht="15.75" x14ac:dyDescent="0.25">
      <c r="A7" s="156">
        <v>3</v>
      </c>
      <c r="B7" s="139" t="s">
        <v>369</v>
      </c>
    </row>
    <row r="8" spans="1:2" ht="15.75" x14ac:dyDescent="0.25">
      <c r="A8" s="156">
        <v>4</v>
      </c>
      <c r="B8" s="139" t="s">
        <v>370</v>
      </c>
    </row>
    <row r="9" spans="1:2" ht="15.75" x14ac:dyDescent="0.25">
      <c r="A9" s="156">
        <v>5</v>
      </c>
      <c r="B9" s="139" t="s">
        <v>371</v>
      </c>
    </row>
    <row r="10" spans="1:2" ht="15.75" x14ac:dyDescent="0.25">
      <c r="A10" s="156">
        <v>6</v>
      </c>
      <c r="B10" s="139" t="s">
        <v>372</v>
      </c>
    </row>
    <row r="11" spans="1:2" ht="15.75" x14ac:dyDescent="0.25">
      <c r="A11" s="156">
        <v>7</v>
      </c>
      <c r="B11" s="139" t="s">
        <v>373</v>
      </c>
    </row>
    <row r="12" spans="1:2" ht="15.75" x14ac:dyDescent="0.25">
      <c r="A12" s="156">
        <v>8</v>
      </c>
      <c r="B12" s="139" t="s">
        <v>374</v>
      </c>
    </row>
    <row r="13" spans="1:2" ht="15.75" x14ac:dyDescent="0.25">
      <c r="A13" s="156">
        <v>9</v>
      </c>
      <c r="B13" s="139" t="s">
        <v>375</v>
      </c>
    </row>
    <row r="14" spans="1:2" ht="15.75" x14ac:dyDescent="0.25">
      <c r="A14" s="156">
        <v>10</v>
      </c>
      <c r="B14" s="140" t="s">
        <v>376</v>
      </c>
    </row>
    <row r="15" spans="1:2" ht="15.75" x14ac:dyDescent="0.25">
      <c r="A15" s="156">
        <v>11</v>
      </c>
      <c r="B15" s="140" t="s">
        <v>377</v>
      </c>
    </row>
    <row r="16" spans="1:2" ht="15.75" x14ac:dyDescent="0.25">
      <c r="A16" s="156">
        <v>12</v>
      </c>
      <c r="B16" s="140" t="s">
        <v>378</v>
      </c>
    </row>
    <row r="17" spans="1:2" ht="15.75" x14ac:dyDescent="0.25">
      <c r="A17" s="156">
        <v>13</v>
      </c>
      <c r="B17" s="140" t="s">
        <v>556</v>
      </c>
    </row>
    <row r="18" spans="1:2" ht="15.75" x14ac:dyDescent="0.25">
      <c r="A18" s="156">
        <v>14</v>
      </c>
      <c r="B18" s="140" t="s">
        <v>379</v>
      </c>
    </row>
    <row r="19" spans="1:2" ht="15.75" x14ac:dyDescent="0.25">
      <c r="A19" s="156">
        <v>15</v>
      </c>
      <c r="B19" s="140" t="s">
        <v>380</v>
      </c>
    </row>
    <row r="20" spans="1:2" ht="15.75" x14ac:dyDescent="0.25">
      <c r="A20" s="156">
        <v>16</v>
      </c>
      <c r="B20" s="140" t="s">
        <v>557</v>
      </c>
    </row>
    <row r="21" spans="1:2" ht="15.75" x14ac:dyDescent="0.25">
      <c r="A21" s="156">
        <v>17</v>
      </c>
      <c r="B21" s="140" t="s">
        <v>381</v>
      </c>
    </row>
    <row r="22" spans="1:2" ht="15.75" x14ac:dyDescent="0.25">
      <c r="A22" s="156">
        <v>18</v>
      </c>
      <c r="B22" s="140" t="s">
        <v>382</v>
      </c>
    </row>
    <row r="23" spans="1:2" ht="15.75" x14ac:dyDescent="0.25">
      <c r="A23" s="156">
        <v>19</v>
      </c>
      <c r="B23" s="140" t="s">
        <v>558</v>
      </c>
    </row>
    <row r="24" spans="1:2" ht="15.75" x14ac:dyDescent="0.25">
      <c r="A24" s="156">
        <v>20</v>
      </c>
      <c r="B24" s="140" t="s">
        <v>383</v>
      </c>
    </row>
    <row r="25" spans="1:2" ht="15.75" x14ac:dyDescent="0.25">
      <c r="A25" s="156">
        <v>21</v>
      </c>
      <c r="B25" s="141" t="s">
        <v>384</v>
      </c>
    </row>
    <row r="26" spans="1:2" ht="15.75" x14ac:dyDescent="0.25">
      <c r="A26" s="156">
        <v>22</v>
      </c>
      <c r="B26" s="141" t="s">
        <v>385</v>
      </c>
    </row>
    <row r="27" spans="1:2" ht="15.75" x14ac:dyDescent="0.25">
      <c r="A27" s="156">
        <v>23</v>
      </c>
      <c r="B27" s="141" t="s">
        <v>386</v>
      </c>
    </row>
    <row r="28" spans="1:2" ht="15.75" x14ac:dyDescent="0.25">
      <c r="A28" s="156">
        <v>24</v>
      </c>
      <c r="B28" s="141" t="s">
        <v>387</v>
      </c>
    </row>
    <row r="29" spans="1:2" ht="15.75" x14ac:dyDescent="0.25">
      <c r="A29" s="156">
        <v>25</v>
      </c>
      <c r="B29" s="141" t="s">
        <v>388</v>
      </c>
    </row>
    <row r="30" spans="1:2" ht="15.75" x14ac:dyDescent="0.25">
      <c r="A30" s="156">
        <v>26</v>
      </c>
      <c r="B30" s="141" t="s">
        <v>559</v>
      </c>
    </row>
    <row r="31" spans="1:2" ht="15.75" x14ac:dyDescent="0.25">
      <c r="A31" s="156">
        <v>27</v>
      </c>
      <c r="B31" s="141" t="s">
        <v>560</v>
      </c>
    </row>
    <row r="32" spans="1:2" ht="15.75" x14ac:dyDescent="0.25">
      <c r="A32" s="156">
        <v>28</v>
      </c>
      <c r="B32" s="141" t="s">
        <v>561</v>
      </c>
    </row>
    <row r="33" spans="1:2" ht="15.75" x14ac:dyDescent="0.25">
      <c r="A33" s="156">
        <v>29</v>
      </c>
      <c r="B33" s="141" t="s">
        <v>562</v>
      </c>
    </row>
    <row r="34" spans="1:2" ht="15.75" x14ac:dyDescent="0.25">
      <c r="A34" s="156">
        <v>30</v>
      </c>
      <c r="B34" s="141" t="s">
        <v>417</v>
      </c>
    </row>
    <row r="35" spans="1:2" ht="15.75" x14ac:dyDescent="0.25">
      <c r="A35" s="156">
        <v>31</v>
      </c>
      <c r="B35" s="141" t="s">
        <v>563</v>
      </c>
    </row>
    <row r="36" spans="1:2" ht="15.75" x14ac:dyDescent="0.25">
      <c r="A36" s="156">
        <v>32</v>
      </c>
      <c r="B36" s="141" t="s">
        <v>418</v>
      </c>
    </row>
    <row r="37" spans="1:2" ht="15.75" x14ac:dyDescent="0.25">
      <c r="A37" s="156">
        <v>33</v>
      </c>
      <c r="B37" s="141" t="s">
        <v>419</v>
      </c>
    </row>
    <row r="38" spans="1:2" ht="15.75" x14ac:dyDescent="0.25">
      <c r="A38" s="156">
        <v>34</v>
      </c>
      <c r="B38" s="141" t="s">
        <v>421</v>
      </c>
    </row>
    <row r="39" spans="1:2" ht="15.75" x14ac:dyDescent="0.25">
      <c r="A39" s="156">
        <v>35</v>
      </c>
      <c r="B39" s="141" t="s">
        <v>564</v>
      </c>
    </row>
    <row r="40" spans="1:2" ht="15.75" x14ac:dyDescent="0.25">
      <c r="A40" s="156">
        <v>36</v>
      </c>
      <c r="B40" s="141" t="s">
        <v>565</v>
      </c>
    </row>
    <row r="41" spans="1:2" ht="15.75" x14ac:dyDescent="0.25">
      <c r="A41" s="156">
        <v>37</v>
      </c>
      <c r="B41" s="141" t="s">
        <v>566</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555</v>
      </c>
    </row>
    <row r="4" spans="1:2" ht="30" x14ac:dyDescent="0.25">
      <c r="A4" s="137" t="s">
        <v>91</v>
      </c>
      <c r="B4" s="138" t="s">
        <v>324</v>
      </c>
    </row>
    <row r="5" spans="1:2" ht="15.75" x14ac:dyDescent="0.25">
      <c r="A5" s="156">
        <v>1</v>
      </c>
      <c r="B5" s="141" t="s">
        <v>389</v>
      </c>
    </row>
    <row r="6" spans="1:2" ht="15.75" x14ac:dyDescent="0.25">
      <c r="A6" s="156">
        <v>2</v>
      </c>
      <c r="B6" s="141" t="s">
        <v>390</v>
      </c>
    </row>
    <row r="7" spans="1:2" ht="15.75" x14ac:dyDescent="0.25">
      <c r="A7" s="156">
        <v>3</v>
      </c>
      <c r="B7" s="141" t="s">
        <v>391</v>
      </c>
    </row>
    <row r="8" spans="1:2" ht="15.75" x14ac:dyDescent="0.25">
      <c r="A8" s="156">
        <v>4</v>
      </c>
      <c r="B8" s="141" t="s">
        <v>420</v>
      </c>
    </row>
    <row r="9" spans="1:2" ht="15.75" x14ac:dyDescent="0.25">
      <c r="A9" s="156">
        <v>5</v>
      </c>
      <c r="B9" s="141" t="s">
        <v>392</v>
      </c>
    </row>
    <row r="10" spans="1:2" ht="15.75" x14ac:dyDescent="0.25">
      <c r="A10" s="156">
        <v>6</v>
      </c>
      <c r="B10" s="141" t="s">
        <v>393</v>
      </c>
    </row>
    <row r="11" spans="1:2" ht="15.75" x14ac:dyDescent="0.25">
      <c r="A11" s="156">
        <v>7</v>
      </c>
      <c r="B11" s="141" t="s">
        <v>394</v>
      </c>
    </row>
    <row r="12" spans="1:2" ht="15.75" x14ac:dyDescent="0.25">
      <c r="A12" s="156">
        <v>8</v>
      </c>
      <c r="B12" s="141" t="s">
        <v>395</v>
      </c>
    </row>
    <row r="13" spans="1:2" ht="15.75" x14ac:dyDescent="0.25">
      <c r="A13" s="156">
        <v>9</v>
      </c>
      <c r="B13" s="141" t="s">
        <v>396</v>
      </c>
    </row>
    <row r="14" spans="1:2" ht="15.75" x14ac:dyDescent="0.25">
      <c r="A14" s="156">
        <v>10</v>
      </c>
      <c r="B14" s="141" t="s">
        <v>397</v>
      </c>
    </row>
    <row r="15" spans="1:2" ht="15.75" x14ac:dyDescent="0.25">
      <c r="A15" s="156">
        <v>11</v>
      </c>
      <c r="B15" s="141" t="s">
        <v>398</v>
      </c>
    </row>
    <row r="16" spans="1:2" ht="15.75" x14ac:dyDescent="0.25">
      <c r="A16" s="156">
        <v>12</v>
      </c>
      <c r="B16" s="141" t="s">
        <v>399</v>
      </c>
    </row>
    <row r="17" spans="1:2" ht="15.75" x14ac:dyDescent="0.25">
      <c r="A17" s="156">
        <v>13</v>
      </c>
      <c r="B17" s="141" t="s">
        <v>400</v>
      </c>
    </row>
    <row r="18" spans="1:2" ht="15.75" x14ac:dyDescent="0.25">
      <c r="A18" s="156">
        <v>14</v>
      </c>
      <c r="B18" s="141" t="s">
        <v>401</v>
      </c>
    </row>
    <row r="19" spans="1:2" ht="15.75" x14ac:dyDescent="0.25">
      <c r="A19" s="156">
        <v>15</v>
      </c>
      <c r="B19" s="141" t="s">
        <v>402</v>
      </c>
    </row>
    <row r="20" spans="1:2" ht="15.75" x14ac:dyDescent="0.25">
      <c r="A20" s="156">
        <v>16</v>
      </c>
      <c r="B20" s="141" t="s">
        <v>403</v>
      </c>
    </row>
    <row r="21" spans="1:2" ht="15.75" x14ac:dyDescent="0.25">
      <c r="A21" s="156">
        <v>17</v>
      </c>
      <c r="B21" s="141" t="s">
        <v>404</v>
      </c>
    </row>
    <row r="22" spans="1:2" ht="15.75" x14ac:dyDescent="0.25">
      <c r="A22" s="156">
        <v>18</v>
      </c>
      <c r="B22" s="141" t="s">
        <v>405</v>
      </c>
    </row>
    <row r="23" spans="1:2" ht="15.75" x14ac:dyDescent="0.25">
      <c r="A23" s="156">
        <v>19</v>
      </c>
      <c r="B23" s="141" t="s">
        <v>406</v>
      </c>
    </row>
    <row r="24" spans="1:2" ht="15.75" x14ac:dyDescent="0.25">
      <c r="A24" s="156">
        <v>20</v>
      </c>
      <c r="B24" s="141" t="s">
        <v>407</v>
      </c>
    </row>
    <row r="25" spans="1:2" ht="15.75" x14ac:dyDescent="0.25">
      <c r="A25" s="156">
        <v>21</v>
      </c>
      <c r="B25" s="141" t="s">
        <v>408</v>
      </c>
    </row>
    <row r="26" spans="1:2" ht="15.75" x14ac:dyDescent="0.25">
      <c r="A26" s="156">
        <v>22</v>
      </c>
      <c r="B26" s="141" t="s">
        <v>409</v>
      </c>
    </row>
    <row r="27" spans="1:2" ht="15.75" x14ac:dyDescent="0.25">
      <c r="A27" s="156">
        <v>23</v>
      </c>
      <c r="B27" s="141" t="s">
        <v>410</v>
      </c>
    </row>
    <row r="28" spans="1:2" ht="15.75" x14ac:dyDescent="0.25">
      <c r="A28" s="156">
        <v>24</v>
      </c>
      <c r="B28" s="141" t="s">
        <v>411</v>
      </c>
    </row>
    <row r="29" spans="1:2" ht="15.75" x14ac:dyDescent="0.25">
      <c r="A29" s="156">
        <v>25</v>
      </c>
      <c r="B29" s="141" t="s">
        <v>567</v>
      </c>
    </row>
    <row r="30" spans="1:2" ht="15.75" x14ac:dyDescent="0.25">
      <c r="A30" s="156">
        <v>26</v>
      </c>
      <c r="B30" s="141" t="s">
        <v>412</v>
      </c>
    </row>
    <row r="31" spans="1:2" ht="15.75" x14ac:dyDescent="0.25">
      <c r="A31" s="156">
        <v>27</v>
      </c>
      <c r="B31" s="141" t="s">
        <v>413</v>
      </c>
    </row>
    <row r="32" spans="1:2" ht="15.75" x14ac:dyDescent="0.25">
      <c r="A32" s="156">
        <v>28</v>
      </c>
      <c r="B32" s="141" t="s">
        <v>568</v>
      </c>
    </row>
    <row r="33" spans="1:2" ht="15.75" x14ac:dyDescent="0.25">
      <c r="A33" s="156">
        <v>29</v>
      </c>
      <c r="B33" s="141" t="s">
        <v>414</v>
      </c>
    </row>
    <row r="34" spans="1:2" ht="15.75" x14ac:dyDescent="0.25">
      <c r="A34" s="156">
        <v>30</v>
      </c>
      <c r="B34" s="141" t="s">
        <v>415</v>
      </c>
    </row>
    <row r="35" spans="1:2" ht="15.75" x14ac:dyDescent="0.25">
      <c r="A35" s="156">
        <v>31</v>
      </c>
      <c r="B35" s="141" t="s">
        <v>416</v>
      </c>
    </row>
    <row r="36" spans="1:2" ht="15.75" x14ac:dyDescent="0.25">
      <c r="A36" s="156">
        <v>32</v>
      </c>
      <c r="B36" s="141" t="s">
        <v>569</v>
      </c>
    </row>
    <row r="37" spans="1:2" ht="15.75" x14ac:dyDescent="0.25">
      <c r="A37" s="156">
        <v>33</v>
      </c>
      <c r="B37" s="141" t="s">
        <v>570</v>
      </c>
    </row>
    <row r="38" spans="1:2" ht="15.75" x14ac:dyDescent="0.25">
      <c r="A38" s="156">
        <v>34</v>
      </c>
      <c r="B38" s="141" t="s">
        <v>571</v>
      </c>
    </row>
    <row r="39" spans="1:2" ht="15.75" x14ac:dyDescent="0.25">
      <c r="A39" s="156">
        <v>35</v>
      </c>
      <c r="B39" s="141" t="s">
        <v>572</v>
      </c>
    </row>
    <row r="40" spans="1:2" ht="15.75" x14ac:dyDescent="0.25">
      <c r="A40" s="156">
        <v>36</v>
      </c>
      <c r="B40" s="141" t="s">
        <v>573</v>
      </c>
    </row>
    <row r="41" spans="1:2" ht="15.75" x14ac:dyDescent="0.25">
      <c r="A41" s="156">
        <v>37</v>
      </c>
      <c r="B41" s="141" t="s">
        <v>574</v>
      </c>
    </row>
    <row r="42" spans="1:2" ht="15.75" x14ac:dyDescent="0.25">
      <c r="A42" s="156">
        <v>38</v>
      </c>
      <c r="B42" s="141" t="s">
        <v>575</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555</v>
      </c>
    </row>
    <row r="4" spans="1:2" ht="30" x14ac:dyDescent="0.25">
      <c r="A4" s="137" t="s">
        <v>91</v>
      </c>
      <c r="B4" s="138" t="s">
        <v>655</v>
      </c>
    </row>
    <row r="5" spans="1:2" ht="15.75" x14ac:dyDescent="0.25">
      <c r="A5" s="156">
        <v>1</v>
      </c>
      <c r="B5" s="141" t="s">
        <v>657</v>
      </c>
    </row>
    <row r="6" spans="1:2" ht="15.75" x14ac:dyDescent="0.25">
      <c r="A6" s="156">
        <v>2</v>
      </c>
      <c r="B6" s="141" t="s">
        <v>658</v>
      </c>
    </row>
    <row r="7" spans="1:2" ht="15.75" x14ac:dyDescent="0.25">
      <c r="A7" s="156">
        <v>3</v>
      </c>
      <c r="B7" s="141" t="s">
        <v>659</v>
      </c>
    </row>
    <row r="8" spans="1:2" ht="15.75" x14ac:dyDescent="0.25">
      <c r="A8" s="156">
        <v>4</v>
      </c>
      <c r="B8" s="141" t="s">
        <v>660</v>
      </c>
    </row>
    <row r="9" spans="1:2" ht="15.75" x14ac:dyDescent="0.25">
      <c r="A9" s="156">
        <v>5</v>
      </c>
      <c r="B9" s="141" t="s">
        <v>661</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576</v>
      </c>
    </row>
    <row r="2" spans="1:3" s="1" customFormat="1" ht="15" customHeight="1" x14ac:dyDescent="0.25">
      <c r="A2" s="334">
        <v>1</v>
      </c>
      <c r="B2" s="335" t="s">
        <v>340</v>
      </c>
      <c r="C2" s="336" t="s">
        <v>577</v>
      </c>
    </row>
    <row r="3" spans="1:3" ht="15" customHeight="1" x14ac:dyDescent="0.25">
      <c r="A3" s="334">
        <v>2</v>
      </c>
      <c r="B3" s="335" t="s">
        <v>339</v>
      </c>
      <c r="C3" s="336" t="s">
        <v>578</v>
      </c>
    </row>
    <row r="4" spans="1:3" ht="15" customHeight="1" x14ac:dyDescent="0.25">
      <c r="A4" s="334">
        <v>3</v>
      </c>
      <c r="B4" s="335" t="s">
        <v>93</v>
      </c>
      <c r="C4" s="336" t="s">
        <v>579</v>
      </c>
    </row>
    <row r="5" spans="1:3" ht="15" customHeight="1" x14ac:dyDescent="0.25">
      <c r="A5" s="334">
        <v>4</v>
      </c>
      <c r="B5" s="335" t="s">
        <v>580</v>
      </c>
      <c r="C5" s="337" t="s">
        <v>581</v>
      </c>
    </row>
    <row r="6" spans="1:3" ht="15" customHeight="1" x14ac:dyDescent="0.25">
      <c r="A6" s="334">
        <v>5</v>
      </c>
      <c r="B6" s="335" t="s">
        <v>96</v>
      </c>
      <c r="C6" s="337" t="s">
        <v>582</v>
      </c>
    </row>
    <row r="7" spans="1:3" ht="15" customHeight="1" x14ac:dyDescent="0.25">
      <c r="A7" s="334">
        <v>6</v>
      </c>
      <c r="B7" s="335" t="s">
        <v>341</v>
      </c>
      <c r="C7" s="336" t="s">
        <v>583</v>
      </c>
    </row>
    <row r="8" spans="1:3" ht="15" customHeight="1" x14ac:dyDescent="0.25">
      <c r="A8" s="334">
        <v>7</v>
      </c>
      <c r="B8" s="335" t="s">
        <v>584</v>
      </c>
      <c r="C8" s="336" t="s">
        <v>585</v>
      </c>
    </row>
    <row r="9" spans="1:3" ht="15" customHeight="1" x14ac:dyDescent="0.25">
      <c r="A9" s="334">
        <v>8</v>
      </c>
      <c r="B9" s="335" t="s">
        <v>95</v>
      </c>
      <c r="C9" s="337" t="s">
        <v>586</v>
      </c>
    </row>
    <row r="10" spans="1:3" ht="15" customHeight="1" x14ac:dyDescent="0.25">
      <c r="A10" s="334">
        <v>9</v>
      </c>
      <c r="B10" s="335" t="s">
        <v>342</v>
      </c>
      <c r="C10" s="337" t="s">
        <v>587</v>
      </c>
    </row>
    <row r="11" spans="1:3" ht="15" customHeight="1" x14ac:dyDescent="0.25">
      <c r="A11" s="334">
        <v>10</v>
      </c>
      <c r="B11" s="335" t="s">
        <v>588</v>
      </c>
      <c r="C11" s="337" t="s">
        <v>589</v>
      </c>
    </row>
    <row r="12" spans="1:3" ht="15" customHeight="1" x14ac:dyDescent="0.25">
      <c r="A12" s="334">
        <v>11</v>
      </c>
      <c r="B12" s="335" t="s">
        <v>94</v>
      </c>
      <c r="C12" s="337" t="s">
        <v>590</v>
      </c>
    </row>
    <row r="13" spans="1:3" ht="15" customHeight="1" x14ac:dyDescent="0.25">
      <c r="A13" s="334">
        <v>12</v>
      </c>
      <c r="B13" s="335" t="s">
        <v>343</v>
      </c>
      <c r="C13" s="336" t="s">
        <v>591</v>
      </c>
    </row>
    <row r="14" spans="1:3" ht="15" customHeight="1" x14ac:dyDescent="0.25">
      <c r="A14" s="334">
        <v>13</v>
      </c>
      <c r="B14" s="335" t="s">
        <v>344</v>
      </c>
      <c r="C14" s="337" t="s">
        <v>592</v>
      </c>
    </row>
    <row r="15" spans="1:3" ht="15" customHeight="1" x14ac:dyDescent="0.25">
      <c r="A15" s="334">
        <v>14</v>
      </c>
      <c r="B15" s="335" t="s">
        <v>345</v>
      </c>
      <c r="C15" s="336" t="s">
        <v>593</v>
      </c>
    </row>
    <row r="16" spans="1:3" ht="15" customHeight="1" x14ac:dyDescent="0.25">
      <c r="A16" s="334">
        <v>15</v>
      </c>
      <c r="B16" s="335" t="s">
        <v>346</v>
      </c>
      <c r="C16" s="336" t="s">
        <v>594</v>
      </c>
    </row>
    <row r="17" spans="1:3" ht="15" customHeight="1" x14ac:dyDescent="0.25">
      <c r="A17" s="334">
        <v>16</v>
      </c>
      <c r="B17" s="335" t="s">
        <v>347</v>
      </c>
      <c r="C17" s="336" t="s">
        <v>595</v>
      </c>
    </row>
    <row r="18" spans="1:3" ht="15" customHeight="1" x14ac:dyDescent="0.25">
      <c r="A18" s="334">
        <v>17</v>
      </c>
      <c r="B18" s="335" t="s">
        <v>348</v>
      </c>
      <c r="C18" s="336" t="s">
        <v>596</v>
      </c>
    </row>
    <row r="19" spans="1:3" ht="15" customHeight="1" x14ac:dyDescent="0.25">
      <c r="A19" s="334">
        <v>18</v>
      </c>
      <c r="B19" s="335" t="s">
        <v>349</v>
      </c>
      <c r="C19" s="336" t="s">
        <v>597</v>
      </c>
    </row>
    <row r="20" spans="1:3" ht="15" customHeight="1" x14ac:dyDescent="0.25">
      <c r="A20" s="334">
        <v>19</v>
      </c>
      <c r="B20" s="335" t="s">
        <v>350</v>
      </c>
      <c r="C20" s="336" t="s">
        <v>598</v>
      </c>
    </row>
    <row r="21" spans="1:3" ht="15" customHeight="1" x14ac:dyDescent="0.25">
      <c r="A21" s="334">
        <v>20</v>
      </c>
      <c r="B21" s="335" t="s">
        <v>351</v>
      </c>
      <c r="C21" s="336" t="s">
        <v>599</v>
      </c>
    </row>
    <row r="22" spans="1:3" ht="15" customHeight="1" x14ac:dyDescent="0.25">
      <c r="A22" s="334">
        <v>21</v>
      </c>
      <c r="B22" s="335" t="s">
        <v>352</v>
      </c>
      <c r="C22" s="336" t="s">
        <v>600</v>
      </c>
    </row>
    <row r="23" spans="1:3" ht="15" customHeight="1" x14ac:dyDescent="0.25">
      <c r="A23" s="334">
        <v>22</v>
      </c>
      <c r="B23" s="335" t="s">
        <v>353</v>
      </c>
      <c r="C23" s="336" t="s">
        <v>601</v>
      </c>
    </row>
    <row r="24" spans="1:3" ht="15" customHeight="1" x14ac:dyDescent="0.25">
      <c r="A24" s="334">
        <v>23</v>
      </c>
      <c r="B24" s="335" t="s">
        <v>354</v>
      </c>
      <c r="C24" s="336" t="s">
        <v>602</v>
      </c>
    </row>
    <row r="25" spans="1:3" ht="15" customHeight="1" x14ac:dyDescent="0.25">
      <c r="A25" s="334">
        <v>24</v>
      </c>
      <c r="B25" s="335" t="s">
        <v>355</v>
      </c>
      <c r="C25" s="336" t="s">
        <v>603</v>
      </c>
    </row>
    <row r="26" spans="1:3" ht="15" customHeight="1" x14ac:dyDescent="0.25">
      <c r="A26" s="334">
        <v>25</v>
      </c>
      <c r="B26" s="335" t="s">
        <v>356</v>
      </c>
      <c r="C26" s="336" t="s">
        <v>604</v>
      </c>
    </row>
    <row r="27" spans="1:3" ht="15" customHeight="1" x14ac:dyDescent="0.25">
      <c r="A27" s="334">
        <v>26</v>
      </c>
      <c r="B27" s="335" t="s">
        <v>90</v>
      </c>
      <c r="C27" s="335" t="s">
        <v>605</v>
      </c>
    </row>
    <row r="28" spans="1:3" ht="15" customHeight="1" x14ac:dyDescent="0.25">
      <c r="A28" s="334">
        <v>27</v>
      </c>
      <c r="B28" s="335" t="s">
        <v>357</v>
      </c>
      <c r="C28" s="336" t="s">
        <v>606</v>
      </c>
    </row>
    <row r="29" spans="1:3" ht="15" customHeight="1" x14ac:dyDescent="0.25">
      <c r="A29" s="334">
        <v>28</v>
      </c>
      <c r="B29" s="335" t="s">
        <v>358</v>
      </c>
      <c r="C29" s="336" t="s">
        <v>607</v>
      </c>
    </row>
    <row r="30" spans="1:3" ht="15" customHeight="1" x14ac:dyDescent="0.25">
      <c r="A30" s="334">
        <v>29</v>
      </c>
      <c r="B30" s="335" t="s">
        <v>359</v>
      </c>
      <c r="C30" s="337" t="s">
        <v>608</v>
      </c>
    </row>
    <row r="31" spans="1:3" ht="15" customHeight="1" x14ac:dyDescent="0.25">
      <c r="A31" s="334">
        <v>30</v>
      </c>
      <c r="B31" s="335" t="s">
        <v>360</v>
      </c>
      <c r="C31" s="336" t="s">
        <v>609</v>
      </c>
    </row>
    <row r="32" spans="1:3" ht="15" customHeight="1" x14ac:dyDescent="0.25">
      <c r="A32" s="334">
        <v>31</v>
      </c>
      <c r="B32" s="335" t="s">
        <v>361</v>
      </c>
      <c r="C32" s="336" t="s">
        <v>610</v>
      </c>
    </row>
    <row r="33" spans="1:3" ht="15" customHeight="1" x14ac:dyDescent="0.25">
      <c r="A33" s="334">
        <v>32</v>
      </c>
      <c r="B33" s="335" t="s">
        <v>362</v>
      </c>
      <c r="C33" s="335" t="s">
        <v>605</v>
      </c>
    </row>
    <row r="34" spans="1:3" ht="15" customHeight="1" x14ac:dyDescent="0.25">
      <c r="A34" s="334">
        <v>33</v>
      </c>
      <c r="B34" s="335" t="s">
        <v>363</v>
      </c>
      <c r="C34" s="336" t="s">
        <v>611</v>
      </c>
    </row>
    <row r="35" spans="1:3" ht="15" customHeight="1" x14ac:dyDescent="0.25">
      <c r="A35" s="334">
        <v>34</v>
      </c>
      <c r="B35" s="335" t="s">
        <v>364</v>
      </c>
      <c r="C35" s="336" t="s">
        <v>612</v>
      </c>
    </row>
    <row r="36" spans="1:3" ht="15" customHeight="1" x14ac:dyDescent="0.25">
      <c r="A36" s="334">
        <v>35</v>
      </c>
      <c r="B36" s="335" t="s">
        <v>365</v>
      </c>
      <c r="C36" s="336" t="s">
        <v>613</v>
      </c>
    </row>
    <row r="37" spans="1:3" ht="15" customHeight="1" x14ac:dyDescent="0.25">
      <c r="A37" s="334">
        <v>36</v>
      </c>
      <c r="B37" s="338" t="s">
        <v>366</v>
      </c>
      <c r="C37" s="337" t="s">
        <v>614</v>
      </c>
    </row>
    <row r="38" spans="1:3" ht="15" customHeight="1" x14ac:dyDescent="0.25">
      <c r="A38" s="339">
        <v>37</v>
      </c>
      <c r="B38" s="338" t="s">
        <v>615</v>
      </c>
      <c r="C38" s="336" t="s">
        <v>616</v>
      </c>
    </row>
    <row r="39" spans="1:3" ht="15" customHeight="1" x14ac:dyDescent="0.25">
      <c r="A39" s="339">
        <v>38</v>
      </c>
      <c r="B39" s="338" t="s">
        <v>617</v>
      </c>
      <c r="C39" s="336" t="s">
        <v>618</v>
      </c>
    </row>
    <row r="40" spans="1:3" ht="15" customHeight="1" x14ac:dyDescent="0.25">
      <c r="A40" s="339">
        <v>39</v>
      </c>
      <c r="B40" s="338" t="s">
        <v>619</v>
      </c>
      <c r="C40" s="336" t="s">
        <v>620</v>
      </c>
    </row>
    <row r="41" spans="1:3" ht="15" customHeight="1" x14ac:dyDescent="0.25">
      <c r="A41" s="339">
        <v>40</v>
      </c>
      <c r="B41" s="338" t="s">
        <v>621</v>
      </c>
      <c r="C41" s="336" t="s">
        <v>622</v>
      </c>
    </row>
    <row r="42" spans="1:3" ht="15" customHeight="1" x14ac:dyDescent="0.25">
      <c r="A42" s="339">
        <v>41</v>
      </c>
      <c r="B42" s="338" t="s">
        <v>623</v>
      </c>
      <c r="C42" s="336" t="s">
        <v>624</v>
      </c>
    </row>
    <row r="43" spans="1:3" ht="15" customHeight="1" x14ac:dyDescent="0.25">
      <c r="A43" s="339">
        <v>42</v>
      </c>
      <c r="B43" s="338" t="s">
        <v>625</v>
      </c>
      <c r="C43" s="336" t="s">
        <v>626</v>
      </c>
    </row>
    <row r="44" spans="1:3" ht="15" customHeight="1" x14ac:dyDescent="0.25">
      <c r="A44" s="339">
        <v>43</v>
      </c>
      <c r="B44" s="338" t="s">
        <v>627</v>
      </c>
      <c r="C44" s="336" t="s">
        <v>628</v>
      </c>
    </row>
    <row r="45" spans="1:3" ht="15" customHeight="1" x14ac:dyDescent="0.25">
      <c r="A45" s="339">
        <v>44</v>
      </c>
      <c r="B45" s="338" t="s">
        <v>629</v>
      </c>
      <c r="C45" s="336" t="s">
        <v>630</v>
      </c>
    </row>
    <row r="46" spans="1:3" ht="15" customHeight="1" x14ac:dyDescent="0.25">
      <c r="A46" s="339">
        <v>45</v>
      </c>
      <c r="B46" s="338" t="s">
        <v>631</v>
      </c>
      <c r="C46" s="336" t="s">
        <v>632</v>
      </c>
    </row>
    <row r="47" spans="1:3" ht="15" customHeight="1" x14ac:dyDescent="0.25">
      <c r="A47" s="339">
        <v>46</v>
      </c>
      <c r="B47" s="338" t="s">
        <v>633</v>
      </c>
      <c r="C47" s="336" t="s">
        <v>634</v>
      </c>
    </row>
    <row r="48" spans="1:3" ht="15" customHeight="1" x14ac:dyDescent="0.25">
      <c r="A48" s="339">
        <v>47</v>
      </c>
      <c r="B48" s="338" t="s">
        <v>635</v>
      </c>
      <c r="C48" s="336" t="s">
        <v>636</v>
      </c>
    </row>
    <row r="49" spans="1:11" ht="15" customHeight="1" x14ac:dyDescent="0.25">
      <c r="A49" s="339">
        <v>48</v>
      </c>
      <c r="B49" s="338" t="s">
        <v>637</v>
      </c>
      <c r="C49" s="336" t="s">
        <v>638</v>
      </c>
    </row>
    <row r="50" spans="1:11" ht="15" customHeight="1" x14ac:dyDescent="0.25">
      <c r="A50" s="339">
        <v>49</v>
      </c>
      <c r="B50" s="338" t="s">
        <v>639</v>
      </c>
      <c r="C50" s="336" t="s">
        <v>640</v>
      </c>
    </row>
    <row r="51" spans="1:11" ht="15" customHeight="1" x14ac:dyDescent="0.25">
      <c r="A51" s="339">
        <v>50</v>
      </c>
      <c r="B51" s="338" t="s">
        <v>641</v>
      </c>
      <c r="C51" s="336" t="s">
        <v>642</v>
      </c>
    </row>
    <row r="52" spans="1:11" ht="15" customHeight="1" x14ac:dyDescent="0.25">
      <c r="A52" s="339">
        <v>51</v>
      </c>
      <c r="B52" s="338" t="s">
        <v>643</v>
      </c>
      <c r="C52" s="336" t="s">
        <v>644</v>
      </c>
    </row>
    <row r="53" spans="1:11" ht="15" customHeight="1" x14ac:dyDescent="0.25">
      <c r="A53" s="339">
        <v>52</v>
      </c>
      <c r="B53" s="338" t="s">
        <v>645</v>
      </c>
      <c r="C53" s="336" t="s">
        <v>646</v>
      </c>
    </row>
    <row r="54" spans="1:11" ht="15" customHeight="1" x14ac:dyDescent="0.25">
      <c r="A54" s="339">
        <v>53</v>
      </c>
      <c r="B54" s="40" t="s">
        <v>647</v>
      </c>
      <c r="C54" s="336" t="s">
        <v>648</v>
      </c>
    </row>
    <row r="55" spans="1:11" ht="15" customHeight="1" x14ac:dyDescent="0.25">
      <c r="A55" s="339">
        <v>54</v>
      </c>
      <c r="B55" s="340" t="s">
        <v>1020</v>
      </c>
      <c r="C55" s="341"/>
      <c r="E55" s="609" t="s">
        <v>331</v>
      </c>
      <c r="F55" s="609"/>
      <c r="G55" s="609"/>
      <c r="H55" s="609"/>
      <c r="I55" s="609"/>
      <c r="J55" s="609"/>
      <c r="K55" s="609"/>
    </row>
    <row r="56" spans="1:11" ht="15" customHeight="1" x14ac:dyDescent="0.25">
      <c r="A56" s="339">
        <v>55</v>
      </c>
      <c r="B56" s="340" t="s">
        <v>1019</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10" t="s">
        <v>60</v>
      </c>
      <c r="B1" s="611"/>
      <c r="C1" s="612"/>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35" t="s">
        <v>652</v>
      </c>
      <c r="B5" s="535"/>
      <c r="C5" s="535"/>
      <c r="D5" s="535"/>
      <c r="E5" s="535"/>
      <c r="F5" s="535"/>
      <c r="G5" s="535"/>
      <c r="H5" s="535"/>
      <c r="I5" s="535"/>
      <c r="J5" s="226"/>
      <c r="K5" s="226"/>
      <c r="L5" s="226"/>
      <c r="M5" s="226"/>
      <c r="N5" s="64"/>
    </row>
    <row r="6" spans="1:16" ht="13.5" customHeight="1" x14ac:dyDescent="0.25">
      <c r="E6" s="64"/>
      <c r="F6" s="64"/>
      <c r="H6" s="64"/>
      <c r="I6" s="347" t="str">
        <f>CONCATENATE(functie," ",nume_candidat)</f>
        <v>Conferențiar Codrean Cosmin</v>
      </c>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6.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H12" sqref="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Ingineria Materialelor și Fabricației</v>
      </c>
      <c r="E3" s="61"/>
      <c r="F3" s="61"/>
      <c r="H3" s="62"/>
      <c r="I3" s="63"/>
      <c r="K3" s="62"/>
      <c r="M3" s="289"/>
      <c r="N3" s="289"/>
      <c r="O3" s="289"/>
    </row>
    <row r="4" spans="1:16" x14ac:dyDescent="0.25">
      <c r="A4" s="535" t="s">
        <v>784</v>
      </c>
      <c r="B4" s="535"/>
      <c r="C4" s="535"/>
      <c r="D4" s="535"/>
      <c r="E4" s="535"/>
      <c r="F4" s="535"/>
      <c r="G4" s="535"/>
      <c r="H4" s="535"/>
      <c r="I4" s="535"/>
      <c r="J4" s="226"/>
      <c r="K4" s="226"/>
      <c r="L4" s="226"/>
      <c r="M4" s="226"/>
      <c r="N4" s="64"/>
      <c r="O4" s="291"/>
    </row>
    <row r="5" spans="1:16" x14ac:dyDescent="0.25">
      <c r="A5" s="535" t="s">
        <v>653</v>
      </c>
      <c r="B5" s="535"/>
      <c r="C5" s="535"/>
      <c r="D5" s="535"/>
      <c r="E5" s="535"/>
      <c r="F5" s="535"/>
      <c r="G5" s="535"/>
      <c r="H5" s="535"/>
      <c r="I5" s="535"/>
      <c r="J5" s="226"/>
      <c r="K5" s="226"/>
      <c r="L5" s="226"/>
      <c r="M5" s="226"/>
      <c r="N5" s="64"/>
    </row>
    <row r="6" spans="1:16" ht="13.5" customHeight="1" x14ac:dyDescent="0.25">
      <c r="E6" s="64"/>
      <c r="F6" s="64"/>
      <c r="H6" s="64"/>
      <c r="I6" s="301"/>
      <c r="J6" s="347" t="str">
        <f>CONCATENATE(functie," ",nume_candidat)</f>
        <v>Conferențiar Codrean Cosmin</v>
      </c>
      <c r="N6" s="64"/>
    </row>
    <row r="7" spans="1:16" ht="18.75" customHeight="1" x14ac:dyDescent="0.25">
      <c r="A7" s="532" t="s">
        <v>338</v>
      </c>
      <c r="B7" s="532" t="s">
        <v>0</v>
      </c>
      <c r="C7" s="532" t="s">
        <v>545</v>
      </c>
      <c r="D7" s="532" t="s">
        <v>16</v>
      </c>
      <c r="E7" s="533" t="s">
        <v>17</v>
      </c>
      <c r="F7" s="538" t="s">
        <v>2</v>
      </c>
      <c r="G7" s="532" t="s">
        <v>18</v>
      </c>
      <c r="H7" s="533" t="s">
        <v>546</v>
      </c>
      <c r="I7" s="532" t="s">
        <v>544</v>
      </c>
      <c r="J7" s="532"/>
      <c r="K7" s="532" t="s">
        <v>4</v>
      </c>
      <c r="L7" s="532"/>
      <c r="M7" s="536" t="s">
        <v>48</v>
      </c>
      <c r="N7" s="537"/>
      <c r="O7" s="539" t="s">
        <v>541</v>
      </c>
      <c r="P7" s="540" t="s">
        <v>551</v>
      </c>
    </row>
    <row r="8" spans="1:16" ht="45.75" customHeight="1" x14ac:dyDescent="0.25">
      <c r="A8" s="532"/>
      <c r="B8" s="532"/>
      <c r="C8" s="532"/>
      <c r="D8" s="532"/>
      <c r="E8" s="534"/>
      <c r="F8" s="538"/>
      <c r="G8" s="532"/>
      <c r="H8" s="53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9"/>
      <c r="P8" s="54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2020-08-31T12:48:01Z</dcterms:modified>
  <cp:category/>
</cp:coreProperties>
</file>