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E97" i="14"/>
  <c r="N52" i="14"/>
  <c r="B52" i="14"/>
  <c r="Y96" i="14" l="1"/>
  <c r="H7" i="14"/>
  <c r="AC19"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U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1" i="18" l="1"/>
  <c r="AC8" i="18"/>
  <c r="AC79" i="18"/>
  <c r="AC72" i="18"/>
  <c r="AC61" i="18"/>
  <c r="AC54" i="18"/>
  <c r="AC42" i="18"/>
  <c r="AC38" i="18"/>
  <c r="AC28" i="18"/>
  <c r="AC24" i="18"/>
  <c r="AC18" i="18"/>
  <c r="AC12" i="18"/>
  <c r="AC80" i="18"/>
  <c r="AC73" i="18"/>
  <c r="AC62" i="18"/>
  <c r="AC55" i="18"/>
  <c r="AC47" i="18"/>
  <c r="AC43" i="18"/>
  <c r="AC33" i="18"/>
  <c r="AC32" i="18"/>
  <c r="AC21" i="18"/>
  <c r="AC82" i="18"/>
  <c r="AC75" i="18"/>
  <c r="AC69" i="18"/>
  <c r="AC27" i="18"/>
  <c r="AC22" i="18"/>
  <c r="AC83" i="18"/>
  <c r="AC76" i="18"/>
  <c r="AC70" i="18"/>
  <c r="AC65" i="18"/>
  <c r="AC57" i="18"/>
  <c r="AC50" i="18"/>
  <c r="AC36" i="18"/>
  <c r="AC26" i="18"/>
  <c r="AC9" i="18"/>
  <c r="AC6" i="18"/>
  <c r="AC64" i="18"/>
  <c r="AC49" i="18"/>
  <c r="AC45" i="18"/>
  <c r="AC37" i="18"/>
  <c r="AC23" i="18"/>
  <c r="AC84" i="18"/>
  <c r="AC77" i="18"/>
  <c r="AC58" i="18"/>
  <c r="AC51" i="18"/>
  <c r="AC39" i="18"/>
  <c r="AC29" i="18"/>
  <c r="AC16" i="18"/>
  <c r="AC15" i="18"/>
  <c r="AC14" i="18"/>
  <c r="AC13" i="18"/>
  <c r="AC85" i="18"/>
  <c r="AC78" i="18"/>
  <c r="AC66" i="18"/>
  <c r="AC59" i="18"/>
  <c r="AC52" i="18"/>
  <c r="AC46" i="18"/>
  <c r="AC35" i="18"/>
  <c r="AC34" i="18"/>
  <c r="AC5" i="18"/>
  <c r="AC20" i="18"/>
  <c r="AC86" i="18"/>
  <c r="AC25" i="18"/>
  <c r="AC17" i="18"/>
  <c r="AC10" i="18"/>
  <c r="AC87" i="18"/>
  <c r="AC7"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33" i="14"/>
  <c r="A213"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35" i="14"/>
  <c r="AG58" i="18" s="1"/>
  <c r="BT526" i="14"/>
  <c r="AG49" i="18" s="1"/>
  <c r="BT525" i="14"/>
  <c r="AG48" i="18" s="1"/>
  <c r="BM513" i="14"/>
  <c r="T36" i="18" s="1"/>
  <c r="U36" i="18"/>
  <c r="BI503" i="14"/>
  <c r="P26" i="18" s="1"/>
  <c r="S26" i="18"/>
  <c r="BT503" i="14"/>
  <c r="AG26" i="18" s="1"/>
  <c r="BM503" i="14"/>
  <c r="T26" i="18" s="1"/>
  <c r="U26" i="18"/>
  <c r="BI513" i="14"/>
  <c r="P36" i="18" s="1"/>
  <c r="S36" i="18"/>
  <c r="BM502" i="14"/>
  <c r="T25" i="18" s="1"/>
  <c r="U25" i="18"/>
  <c r="BI502" i="14"/>
  <c r="P25" i="18" s="1"/>
  <c r="S25" i="18"/>
  <c r="BM501" i="14"/>
  <c r="T24" i="18" s="1"/>
  <c r="U24" i="18"/>
  <c r="BI501" i="14"/>
  <c r="P24" i="18" s="1"/>
  <c r="S24" i="18"/>
  <c r="BM511" i="14"/>
  <c r="T34" i="18" s="1"/>
  <c r="U34" i="18"/>
  <c r="BI511" i="14"/>
  <c r="P34" i="18" s="1"/>
  <c r="S34" i="18"/>
  <c r="BT511" i="14"/>
  <c r="AG3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M495" i="14" s="1"/>
  <c r="T18" i="18" s="1"/>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D18" i="18"/>
  <c r="BT495" i="14"/>
  <c r="AG18" i="18" s="1"/>
  <c r="D17" i="18"/>
  <c r="BT494" i="14"/>
  <c r="AG17" i="18" s="1"/>
  <c r="BR483" i="14"/>
  <c r="Y6" i="18" s="1"/>
  <c r="BI494" i="14"/>
  <c r="P17" i="18" s="1"/>
  <c r="S17" i="18"/>
  <c r="BR484" i="14"/>
  <c r="Y7" i="18" s="1"/>
  <c r="D7" i="18"/>
  <c r="BT484" i="14"/>
  <c r="AG7"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CJ449" i="14"/>
  <c r="CK449" i="14"/>
  <c r="BQ492" i="14"/>
  <c r="X15" i="18" s="1"/>
  <c r="P6" i="18"/>
  <c r="BQ483" i="14"/>
  <c r="X6"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<sst xmlns="http://schemas.openxmlformats.org/spreadsheetml/2006/main" count="535" uniqueCount="322">
  <si>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</si>
  <si>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</si>
  <si>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</si>
  <si>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</si>
  <si>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</si>
  <si>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</si>
  <si>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</si>
  <si>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</si>
  <si>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</si>
  <si>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</si>
  <si>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</si>
  <si>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</si>
  <si>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</si>
  <si>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</si>
  <si>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</si>
  <si>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</si>
  <si>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</si>
  <si>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</si>
  <si>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</si>
  <si>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</si>
  <si>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</si>
  <si>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</si>
  <si>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</si>
  <si>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</si>
  <si>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</si>
  <si>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</si>
  <si>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</si>
  <si>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</si>
  <si>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</si>
  <si>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</si>
  <si>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</si>
  <si>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</si>
  <si>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</si>
  <si>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</si>
  <si>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</si>
  <si>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</si>
  <si>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</si>
  <si>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</si>
  <si>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</si>
  <si>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</si>
  <si>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</si>
  <si>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</si>
  <si>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</si>
  <si>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</si>
  <si>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</si>
  <si>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</si>
  <si>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</si>
  <si>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</si>
  <si>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</si>
  <si>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</si>
  <si>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</si>
  <si>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</si>
  <si>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</si>
  <si>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</si>
  <si>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</si>
  <si>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</si>
  <si>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</si>
  <si>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</si>
  <si>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</si>
  <si>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</si>
  <si>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</si>
  <si>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</si>
  <si>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</si>
  <si>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</si>
  <si>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</si>
  <si>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</si>
  <si>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</si>
  <si>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</si>
  <si>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</si>
  <si>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</si>
  <si>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</si>
  <si>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</si>
  <si>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</si>
  <si>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</si>
  <si>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</si>
  <si>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</si>
  <si>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</si>
  <si>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</si>
  <si>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</si>
  <si>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</si>
  <si>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</si>
  <si>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</si>
  <si>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</si>
  <si>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</si>
  <si>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</si>
  <si>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</si>
  <si>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</si>
  <si>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</si>
  <si>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</si>
  <si>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</si>
  <si>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</si>
  <si>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</si>
  <si>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</si>
  <si>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</si>
  <si>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</si>
  <si>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</si>
  <si>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</si>
  <si>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</si>
  <si>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</si>
  <si>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</si>
  <si>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</si>
  <si>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</si>
  <si>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</si>
  <si>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</si>
  <si>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</si>
  <si>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</si>
  <si>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</si>
  <si>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</si>
  <si>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</si>
  <si>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</si>
  <si>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</si>
  <si>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</si>
  <si>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</si>
  <si>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</si>
  <si>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</si>
  <si>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</si>
  <si>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</si>
  <si>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</si>
  <si>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</si>
  <si>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</si>
  <si>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</si>
  <si>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</si>
  <si>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</si>
  <si>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</si>
  <si>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</si>
  <si>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</si>
  <si>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</si>
  <si>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</si>
  <si>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</si>
  <si>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</si>
  <si>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</si>
  <si>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</si>
  <si>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</si>
  <si>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</si>
  <si>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</si>
  <si>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</si>
  <si>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</si>
  <si>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</si>
  <si>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</si>
  <si>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</si>
  <si>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</si>
  <si>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</si>
  <si>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</si>
  <si>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</si>
  <si>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</si>
  <si>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</si>
  <si>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</si>
  <si>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</si>
  <si>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</si>
  <si>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</si>
  <si>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</si>
  <si>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</si>
  <si>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</si>
  <si>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</si>
  <si>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</si>
  <si>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</si>
  <si>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</si>
  <si>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</si>
  <si>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</si>
  <si>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</si>
  <si>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</si>
  <si>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</si>
  <si>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</si>
  <si>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</si>
  <si>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</si>
  <si>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</si>
  <si>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</si>
  <si>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</si>
  <si>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</si>
  <si>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</si>
  <si>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</si>
  <si>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</si>
  <si>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</si>
  <si>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</si>
  <si>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</si>
  <si>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</si>
  <si>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</si>
  <si>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</si>
  <si>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</si>
  <si>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</si>
  <si>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</si>
  <si>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</si>
  <si>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</si>
  <si>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</si>
  <si>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</si>
  <si>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</si>
  <si>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</si>
  <si>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</si>
  <si>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</si>
  <si>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</si>
  <si>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</si>
  <si>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</si>
  <si>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</si>
  <si>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</si>
  <si>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</si>
  <si>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</si>
  <si>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</si>
  <si>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</si>
  <si>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</si>
  <si>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</si>
  <si>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</si>
  <si>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</si>
  <si>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</si>
  <si>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</si>
  <si>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</si>
  <si>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</si>
  <si>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</si>
  <si>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</si>
  <si>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</si>
  <si>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</si>
  <si>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</si>
  <si>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</si>
  <si>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</si>
  <si>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</si>
  <si>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</si>
  <si>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</si>
  <si>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</si>
  <si>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</si>
  <si>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</si>
  <si>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</si>
  <si>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</si>
  <si>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</si>
  <si>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</si>
  <si>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</si>
  <si>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</si>
  <si>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</si>
  <si>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</si>
  <si>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</si>
  <si>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</si>
  <si>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</si>
  <si>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</si>
  <si>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</si>
  <si>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</si>
  <si>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</si>
  <si>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</si>
  <si>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</si>
  <si>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</si>
  <si>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</si>
  <si>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</si>
  <si>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</si>
  <si>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</si>
  <si>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</si>
  <si>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</si>
  <si>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</si>
  <si>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</si>
  <si>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</si>
  <si>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</si>
  <si>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</si>
  <si>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</si>
  <si>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</si>
  <si>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</si>
  <si>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</si>
  <si>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</si>
  <si>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</si>
  <si>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</si>
  <si>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</si>
  <si>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</si>
  <si>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</si>
  <si>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</si>
  <si>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</si>
  <si>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</si>
  <si>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</si>
  <si>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</si>
  <si>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</si>
  <si>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</si>
  <si>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</si>
  <si>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</si>
  <si>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</si>
  <si>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</si>
  <si>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</si>
  <si>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</si>
  <si>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</si>
  <si>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</si>
  <si>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</si>
  <si>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</si>
  <si>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</si>
  <si>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</si>
  <si>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</si>
  <si>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</si>
  <si>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MECANICA</t>
  </si>
  <si>
    <t>IMPLANTURI, PROTEZE SI EVALUARE BIOMECANICĂ</t>
  </si>
  <si>
    <t>Stiințe inginerești</t>
  </si>
  <si>
    <t>Inginerie mecanică, mecatronică, inginerie industrială și management</t>
  </si>
  <si>
    <t>Științe inginerești aplicate</t>
  </si>
  <si>
    <t>Știinte ingineresti aplicate</t>
  </si>
  <si>
    <t>Misiunea didactică: Programul de master constituie un cadru unitar de formare interdisciplinară de specialişti în domeniul Ştiinţelor inginereşti aplicate, în vederea ofertării de soluţii integrate de diagnosticare, protezare şi evaluare biomecanică.
Misiunea de cercetare:
• Programul de master asigură bazele pregătirii teoretice şi practice pentru formarea unor specialişti pentru cercetare în domeniile care au în vedere îmbunătăţirea stării de sănătate a populaţiei: modelarea aparatului locomor în vederea protezării; cercetări asupra optimizării dispozitivelor de protezare şi implantare; Stabilirea unor tehnici de recuperare biomecanică pentru diferite patologii; proiectarea şi realizarea de implanturi şi elemente de protezare; cercetări interdisciplinare în domeniul Ştiinţelor inginereşti aplicate.</t>
  </si>
  <si>
    <t xml:space="preserve">Obiectivele principale ale programului de master constau în dezvoltarea unor abilităţi specifice Implantologiei, protezării şi evaluării  biomecanice, caracteristice specialiştilor în Inginerie Medicală asigurate prin aprofundarea cunoştinţelor din domeniile studiilor de licenţă, dar şi în dezvoltarea capacităţilor de cercetare ştiinţifică bazate pe concepţii moderne, asistate de calculator.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</si>
  <si>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C1. Cunoașterea și aplicarea corectă și adecvată a noțiunilor teoretice și practice inițiale și avansate specifice domeniului și specializării.
C2. Proiectarea şi verificarea echipamentelor de recuperare medicala.
C3. Cuantificarea gradului de reabilitate pentru diferite patologii.
C4. Achiziţia şi procesarea datelor bio-medicale.
C5. Analiză numerică pe diverse structuri biologice.
C6.Modelarea cinematică a aparatului a aparatului locomotor în vederea proiectării protezelor active</t>
  </si>
  <si>
    <t>CT1. Comportarea onorabilă, responsabilă, etică, în spiritul legii, pentru a asigura reputaţia profesiei.
CT2.  Identificarea şi documentarea permanentă privind oportunităţile de formare continuă în domeniul său de activitate şi domenii conexe, în corelaţie cu necesităţile pieţei muncii.
CT3. Capacitatea de a lucra individual şi în echipă într-un mediu interdisciplinar, identificarea rolurilor şi responsabilităţilor într-o echipă, demonstrarea spiritului de iniţiativă şi a capacităţilor inovatoare.</t>
  </si>
  <si>
    <t>DA</t>
  </si>
  <si>
    <t xml:space="preserve">Robotică medicală </t>
  </si>
  <si>
    <t>Practica 1 de specialitate</t>
  </si>
  <si>
    <t xml:space="preserve">Dispozitive pentru ortognatodonție </t>
  </si>
  <si>
    <t>Tehnici de achiziţie  şi monitorizare în asistenţa medicală</t>
  </si>
  <si>
    <t xml:space="preserve">Opțional 5 independent  </t>
  </si>
  <si>
    <t xml:space="preserve">Opțional 1 independent  </t>
  </si>
  <si>
    <t xml:space="preserve">Opțional 2 independent  </t>
  </si>
  <si>
    <t xml:space="preserve">Biomecanică avansată </t>
  </si>
  <si>
    <t>Implantologie şi protezare inteligentă</t>
  </si>
  <si>
    <t xml:space="preserve">Opțional 3 independent  </t>
  </si>
  <si>
    <t>Tehnici experimentale de investigare biomecanică</t>
  </si>
  <si>
    <t xml:space="preserve">Kinetoterapie și kinetoprofilaxie în sport   </t>
  </si>
  <si>
    <t>DVAC</t>
  </si>
  <si>
    <t>Etică și integritate academică</t>
  </si>
  <si>
    <t>Practică 1 de specialitate</t>
  </si>
  <si>
    <t>Practică 2 de specialiatate</t>
  </si>
  <si>
    <t>Opțional 1 independent                                                                                                        Hemodinamică</t>
  </si>
  <si>
    <t>Opțional 1 independent                                                                                                        Tehnici avansate pentru prelevarea on-line a biosemnalelor</t>
  </si>
  <si>
    <t xml:space="preserve">Opțional 3 independent                                                                                                        Rezistența și oboseala structurilor biomecanice   </t>
  </si>
  <si>
    <t xml:space="preserve">Opțional 3 independent                                                                                                        Analiza neliniară a sistemelor biomecanice       </t>
  </si>
  <si>
    <t xml:space="preserve">Opțional 4 independent  </t>
  </si>
  <si>
    <t xml:space="preserve">Opțional 4 independent                                                                                                          Aparatură pentru tehnici terapeutice şi chirurgicale avansate  </t>
  </si>
  <si>
    <t xml:space="preserve">Opțional 4 independent                                                                                                          Design si dezvoltare de organe artificiale        </t>
  </si>
  <si>
    <t xml:space="preserve">Opțional 5 independent                                                                                                          Statistică aplicată în cercetarea medicală         </t>
  </si>
  <si>
    <t xml:space="preserve">Opțional 5 independent                                                                                                          Algoritmi şi tehnici de modelare şi simulare   </t>
  </si>
  <si>
    <t>Opțional 2 independent                                                                                                        Python în eSanatate</t>
  </si>
  <si>
    <t>Opțional 2 independent                                                                                                       Python pentru construirea aplicatiilor medicale</t>
  </si>
  <si>
    <t xml:space="preserve">Cod COR: 214938 / cercetator in tehnologie si echipamente neconventionale; </t>
  </si>
  <si>
    <t xml:space="preserve">Voluntariat </t>
  </si>
  <si>
    <t>Conf.univ.dr.ing. Virgil STOICA</t>
  </si>
  <si>
    <t>f</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</si>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</sst>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0"/>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67" fillId="0" borderId="4" xfId="0" applyFont="1" applyFill="1" applyBorder="1" applyAlignment="1" applyProtection="1">
      <alignment horizontal="center" vertical="center" wrapText="1"/>
      <protection locked="0"/>
    </xf>
    <xf numFmtId="0" fontId="67" fillId="0" borderId="18" xfId="0" applyFont="1" applyFill="1" applyBorder="1" applyAlignment="1" applyProtection="1">
      <alignment horizontal="center" vertical="center" wrapText="1"/>
      <protection locked="0"/>
    </xf>
    <xf numFmtId="0" fontId="67" fillId="0" borderId="5" xfId="0" applyFont="1" applyFill="1" applyBorder="1" applyAlignment="1" applyProtection="1">
      <alignment horizontal="center" vertical="center" wrapText="1"/>
      <protection locked="0"/>
    </xf>
    <xf numFmtId="0" fontId="67" fillId="0" borderId="3"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wrapText="1"/>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77" fillId="0" borderId="18"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37" zoomScale="70" zoomScaleNormal="70" zoomScaleSheetLayoutView="70" zoomScalePageLayoutView="70" workbookViewId="0">
      <selection activeCell="N48" sqref="N48:U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279</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280</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281</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282</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283</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284</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319</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MECANICA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285</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69"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x14ac:dyDescent="0.2">
      <c r="A64" s="389" t="s">
        <v>286</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1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287</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54.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288</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25.9" customHeight="1"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317</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N48" sqref="N48:U4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MECANICA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Științe inginerești aplicate</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IMPLANTURI, PROTEZE SI EVALUARE BIOMECANICĂ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Stiințe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Știinte ingineresti aplicate</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30</v>
      </c>
      <c r="E17" s="96" t="s">
        <v>131</v>
      </c>
      <c r="F17" s="299">
        <v>460</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2023-2025</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(2023-2024)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293</v>
      </c>
      <c r="C23" s="451"/>
      <c r="D23" s="451"/>
      <c r="E23" s="451"/>
      <c r="F23" s="451"/>
      <c r="G23" s="451"/>
      <c r="H23" s="451"/>
      <c r="I23" s="451"/>
      <c r="J23" s="451"/>
      <c r="K23" s="451"/>
      <c r="L23" s="451"/>
      <c r="M23" s="452"/>
      <c r="N23" s="451" t="s">
        <v>298</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M460.23.01.V1</v>
      </c>
      <c r="C25" s="404"/>
      <c r="D25" s="405"/>
      <c r="E25" s="362">
        <v>6</v>
      </c>
      <c r="F25" s="359" t="s">
        <v>4</v>
      </c>
      <c r="G25" s="359">
        <v>28</v>
      </c>
      <c r="H25" s="359">
        <v>0</v>
      </c>
      <c r="I25" s="359">
        <v>14</v>
      </c>
      <c r="J25" s="359">
        <v>14</v>
      </c>
      <c r="K25" s="363">
        <v>0</v>
      </c>
      <c r="L25" s="304" t="s">
        <v>44</v>
      </c>
      <c r="M25" s="305">
        <v>56</v>
      </c>
      <c r="N25" s="403" t="str">
        <f>IF(ISBLANK(N23),"",CONCATENATE($E$17,$F$17,".",$G$17,".","0",RIGHT($N$22,1),".",RIGHT(X25,1),$A23,IF(COUNTIFS(N23,"*op?ional*")=1,"-ij","")))</f>
        <v>M460.23.02.V1</v>
      </c>
      <c r="O25" s="404"/>
      <c r="P25" s="405"/>
      <c r="Q25" s="362">
        <v>6</v>
      </c>
      <c r="R25" s="359" t="s">
        <v>4</v>
      </c>
      <c r="S25" s="359">
        <v>28</v>
      </c>
      <c r="T25" s="359">
        <v>0</v>
      </c>
      <c r="U25" s="359">
        <v>0</v>
      </c>
      <c r="V25" s="359">
        <v>14</v>
      </c>
      <c r="W25" s="303">
        <v>0</v>
      </c>
      <c r="X25" s="304" t="s">
        <v>44</v>
      </c>
      <c r="Y25" s="305">
        <v>56</v>
      </c>
    </row>
    <row r="26" spans="1:25" s="100" customFormat="1" ht="21" customHeight="1" thickTop="1" x14ac:dyDescent="0.2">
      <c r="A26" s="394" t="s">
        <v>29</v>
      </c>
      <c r="B26" s="450" t="s">
        <v>295</v>
      </c>
      <c r="C26" s="451"/>
      <c r="D26" s="451"/>
      <c r="E26" s="451"/>
      <c r="F26" s="451"/>
      <c r="G26" s="451"/>
      <c r="H26" s="451"/>
      <c r="I26" s="451"/>
      <c r="J26" s="451"/>
      <c r="K26" s="451"/>
      <c r="L26" s="451"/>
      <c r="M26" s="452"/>
      <c r="N26" s="451" t="s">
        <v>299</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M460.23.01.V2-ij</v>
      </c>
      <c r="C28" s="404"/>
      <c r="D28" s="405"/>
      <c r="E28" s="362">
        <v>5</v>
      </c>
      <c r="F28" s="359" t="s">
        <v>4</v>
      </c>
      <c r="G28" s="359">
        <v>28</v>
      </c>
      <c r="H28" s="359">
        <v>0</v>
      </c>
      <c r="I28" s="359">
        <v>14</v>
      </c>
      <c r="J28" s="359">
        <v>0</v>
      </c>
      <c r="K28" s="303">
        <v>0</v>
      </c>
      <c r="L28" s="304" t="s">
        <v>44</v>
      </c>
      <c r="M28" s="305">
        <v>42</v>
      </c>
      <c r="N28" s="403" t="str">
        <f>IF(ISBLANK(N26),"",CONCATENATE($E$17,$F$17,".",$G$17,".","0",RIGHT($N$22,1),".",RIGHT(X28,1),$A26,IF(COUNTIFS(N26,"*op?ional*")=1,"-ij","")))</f>
        <v>M460.23.02.A2-ij</v>
      </c>
      <c r="O28" s="404"/>
      <c r="P28" s="405"/>
      <c r="Q28" s="362">
        <v>5</v>
      </c>
      <c r="R28" s="359" t="s">
        <v>4</v>
      </c>
      <c r="S28" s="359">
        <v>28</v>
      </c>
      <c r="T28" s="359">
        <v>0</v>
      </c>
      <c r="U28" s="359">
        <v>14</v>
      </c>
      <c r="V28" s="359">
        <v>0</v>
      </c>
      <c r="W28" s="303">
        <v>0</v>
      </c>
      <c r="X28" s="304" t="s">
        <v>289</v>
      </c>
      <c r="Y28" s="305">
        <v>42</v>
      </c>
    </row>
    <row r="29" spans="1:25" s="100" customFormat="1" ht="21" customHeight="1" thickTop="1" x14ac:dyDescent="0.2">
      <c r="A29" s="394" t="s">
        <v>30</v>
      </c>
      <c r="B29" s="450" t="s">
        <v>296</v>
      </c>
      <c r="C29" s="451"/>
      <c r="D29" s="451"/>
      <c r="E29" s="451"/>
      <c r="F29" s="451"/>
      <c r="G29" s="451"/>
      <c r="H29" s="451"/>
      <c r="I29" s="451"/>
      <c r="J29" s="451"/>
      <c r="K29" s="451"/>
      <c r="L29" s="451"/>
      <c r="M29" s="452"/>
      <c r="N29" s="451" t="s">
        <v>300</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M460.23.01.S3-ij</v>
      </c>
      <c r="C31" s="404"/>
      <c r="D31" s="405"/>
      <c r="E31" s="362">
        <v>5</v>
      </c>
      <c r="F31" s="359" t="s">
        <v>4</v>
      </c>
      <c r="G31" s="359">
        <v>14</v>
      </c>
      <c r="H31" s="359">
        <v>0</v>
      </c>
      <c r="I31" s="359">
        <v>0</v>
      </c>
      <c r="J31" s="359">
        <v>28</v>
      </c>
      <c r="K31" s="364">
        <v>0</v>
      </c>
      <c r="L31" s="365" t="s">
        <v>152</v>
      </c>
      <c r="M31" s="305">
        <v>42</v>
      </c>
      <c r="N31" s="403" t="str">
        <f>IF(ISBLANK(N29),"",CONCATENATE($E$17,$F$17,".",$G$17,".","0",RIGHT($N$22,1),".",RIGHT(X31,1),$A29,IF(COUNTIFS(N29,"*op?ional*")=1,"-ij","")))</f>
        <v>M460.23.02.V3</v>
      </c>
      <c r="O31" s="404"/>
      <c r="P31" s="405"/>
      <c r="Q31" s="362">
        <v>6</v>
      </c>
      <c r="R31" s="359" t="s">
        <v>4</v>
      </c>
      <c r="S31" s="359">
        <v>28</v>
      </c>
      <c r="T31" s="359">
        <v>0</v>
      </c>
      <c r="U31" s="359">
        <v>28</v>
      </c>
      <c r="V31" s="359">
        <v>14</v>
      </c>
      <c r="W31" s="303">
        <v>0</v>
      </c>
      <c r="X31" s="304" t="s">
        <v>44</v>
      </c>
      <c r="Y31" s="305">
        <v>42</v>
      </c>
    </row>
    <row r="32" spans="1:25" s="100" customFormat="1" ht="21" customHeight="1" thickTop="1" x14ac:dyDescent="0.2">
      <c r="A32" s="394" t="s">
        <v>31</v>
      </c>
      <c r="B32" s="450" t="s">
        <v>297</v>
      </c>
      <c r="C32" s="451"/>
      <c r="D32" s="451"/>
      <c r="E32" s="451"/>
      <c r="F32" s="451"/>
      <c r="G32" s="451"/>
      <c r="H32" s="451"/>
      <c r="I32" s="451"/>
      <c r="J32" s="451"/>
      <c r="K32" s="451"/>
      <c r="L32" s="451"/>
      <c r="M32" s="452"/>
      <c r="N32" s="451" t="s">
        <v>301</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M460.23.01.A4</v>
      </c>
      <c r="C34" s="404"/>
      <c r="D34" s="405"/>
      <c r="E34" s="362">
        <v>7</v>
      </c>
      <c r="F34" s="359" t="s">
        <v>4</v>
      </c>
      <c r="G34" s="359">
        <v>28</v>
      </c>
      <c r="H34" s="359">
        <v>0</v>
      </c>
      <c r="I34" s="359">
        <v>0</v>
      </c>
      <c r="J34" s="359">
        <v>28</v>
      </c>
      <c r="K34" s="303">
        <v>0</v>
      </c>
      <c r="L34" s="304" t="s">
        <v>289</v>
      </c>
      <c r="M34" s="305">
        <v>56</v>
      </c>
      <c r="N34" s="403" t="str">
        <f>IF(ISBLANK(N32),"",CONCATENATE($E$17,$F$17,".",$G$17,".","0",RIGHT($N$22,1),".",RIGHT(X34,1),$A32,IF(COUNTIFS(N32,"*op?ional*")=1,"-ij","")))</f>
        <v>M460.23.02.C4</v>
      </c>
      <c r="O34" s="404"/>
      <c r="P34" s="405"/>
      <c r="Q34" s="362">
        <v>4</v>
      </c>
      <c r="R34" s="359" t="s">
        <v>4</v>
      </c>
      <c r="S34" s="359">
        <v>14</v>
      </c>
      <c r="T34" s="359">
        <v>0</v>
      </c>
      <c r="U34" s="359">
        <v>14</v>
      </c>
      <c r="V34" s="359">
        <v>0</v>
      </c>
      <c r="W34" s="303">
        <v>0</v>
      </c>
      <c r="X34" s="304" t="s">
        <v>302</v>
      </c>
      <c r="Y34" s="305">
        <v>28</v>
      </c>
    </row>
    <row r="35" spans="1:25" s="100" customFormat="1" ht="21" customHeight="1" thickTop="1" x14ac:dyDescent="0.2">
      <c r="A35" s="394" t="s">
        <v>32</v>
      </c>
      <c r="B35" s="450" t="s">
        <v>304</v>
      </c>
      <c r="C35" s="451"/>
      <c r="D35" s="451"/>
      <c r="E35" s="451"/>
      <c r="F35" s="451"/>
      <c r="G35" s="451"/>
      <c r="H35" s="451"/>
      <c r="I35" s="451"/>
      <c r="J35" s="451"/>
      <c r="K35" s="451"/>
      <c r="L35" s="451"/>
      <c r="M35" s="452"/>
      <c r="N35" s="451" t="s">
        <v>303</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M460.23.01.S5</v>
      </c>
      <c r="C37" s="404"/>
      <c r="D37" s="405"/>
      <c r="E37" s="366">
        <v>7</v>
      </c>
      <c r="F37" s="366" t="s">
        <v>140</v>
      </c>
      <c r="G37" s="367"/>
      <c r="H37" s="368"/>
      <c r="I37" s="368"/>
      <c r="J37" s="368"/>
      <c r="K37" s="369">
        <v>170</v>
      </c>
      <c r="L37" s="304" t="s">
        <v>152</v>
      </c>
      <c r="M37" s="305"/>
      <c r="N37" s="403" t="str">
        <f>IF(ISBLANK(N35),"",CONCATENATE($E$17,$F$17,".",$G$17,".","0",RIGHT($N$22,1),".",RIGHT(X37,1),$A35,IF(COUNTIFS(N35,"*op?ional*")=1,"-ij","")))</f>
        <v>M460.23.02.C5</v>
      </c>
      <c r="O37" s="404"/>
      <c r="P37" s="405"/>
      <c r="Q37" s="362">
        <v>2</v>
      </c>
      <c r="R37" s="359" t="s">
        <v>268</v>
      </c>
      <c r="S37" s="359">
        <v>14</v>
      </c>
      <c r="T37" s="359">
        <v>7</v>
      </c>
      <c r="U37" s="359">
        <v>0</v>
      </c>
      <c r="V37" s="359">
        <v>0</v>
      </c>
      <c r="W37" s="364">
        <v>0</v>
      </c>
      <c r="X37" s="304" t="s">
        <v>153</v>
      </c>
      <c r="Y37" s="305">
        <v>20</v>
      </c>
    </row>
    <row r="38" spans="1:25" s="100" customFormat="1" ht="21" customHeight="1" thickTop="1" x14ac:dyDescent="0.2">
      <c r="A38" s="394" t="s">
        <v>50</v>
      </c>
      <c r="B38" s="450"/>
      <c r="C38" s="451"/>
      <c r="D38" s="451"/>
      <c r="E38" s="451"/>
      <c r="F38" s="451"/>
      <c r="G38" s="451"/>
      <c r="H38" s="451"/>
      <c r="I38" s="451"/>
      <c r="J38" s="451"/>
      <c r="K38" s="451"/>
      <c r="L38" s="451"/>
      <c r="M38" s="452"/>
      <c r="N38" s="451" t="s">
        <v>305</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M460.23.02.S6</v>
      </c>
      <c r="O40" s="404"/>
      <c r="P40" s="405"/>
      <c r="Q40" s="370">
        <v>7</v>
      </c>
      <c r="R40" s="370" t="s">
        <v>140</v>
      </c>
      <c r="S40" s="371"/>
      <c r="T40" s="372"/>
      <c r="U40" s="372"/>
      <c r="V40" s="372"/>
      <c r="W40" s="364">
        <v>170</v>
      </c>
      <c r="X40" s="304" t="s">
        <v>152</v>
      </c>
      <c r="Y40" s="305"/>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t="s">
        <v>321</v>
      </c>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M460.23.02.f10-ij</v>
      </c>
      <c r="O52" s="404"/>
      <c r="P52" s="405"/>
      <c r="Q52" s="349">
        <v>2</v>
      </c>
      <c r="R52" s="349" t="s">
        <v>140</v>
      </c>
      <c r="S52" s="350">
        <v>0</v>
      </c>
      <c r="T52" s="351">
        <v>28</v>
      </c>
      <c r="U52" s="351">
        <v>0</v>
      </c>
      <c r="V52" s="351">
        <v>0</v>
      </c>
      <c r="W52" s="352">
        <v>0</v>
      </c>
      <c r="X52" s="344" t="s">
        <v>320</v>
      </c>
      <c r="Y52" s="348">
        <v>22</v>
      </c>
    </row>
    <row r="53" spans="1:49" s="70" customFormat="1" ht="21" customHeight="1" thickTop="1" x14ac:dyDescent="0.2">
      <c r="A53" s="453" t="s">
        <v>48</v>
      </c>
      <c r="B53" s="101" t="s">
        <v>52</v>
      </c>
      <c r="C53" s="102"/>
      <c r="D53" s="102"/>
      <c r="E53" s="433">
        <f>SUM(G25:J25,G28:J28,G31:J31,G34:J34,G37:J37,G40:J40,G43:J43,G46:J46,G49:J49)</f>
        <v>196</v>
      </c>
      <c r="F53" s="434"/>
      <c r="G53" s="103" t="s">
        <v>5</v>
      </c>
      <c r="H53" s="104"/>
      <c r="I53" s="104"/>
      <c r="J53" s="104"/>
      <c r="K53" s="104"/>
      <c r="L53" s="105"/>
      <c r="M53" s="106">
        <f>SUM(M25,M28,M31,M34,M37,M40,M43,M46,M49)</f>
        <v>196</v>
      </c>
      <c r="N53" s="101" t="s">
        <v>52</v>
      </c>
      <c r="O53" s="102"/>
      <c r="P53" s="102"/>
      <c r="Q53" s="433">
        <f>SUM(S25:V25,S28:V28,S31:V31,S34:V34,S37:V37,S40:V40,S43:V43,S46:V46,S49:V49)</f>
        <v>203</v>
      </c>
      <c r="R53" s="434"/>
      <c r="S53" s="103" t="s">
        <v>5</v>
      </c>
      <c r="T53" s="104"/>
      <c r="U53" s="104"/>
      <c r="V53" s="104"/>
      <c r="W53" s="104"/>
      <c r="X53" s="105"/>
      <c r="Y53" s="112">
        <f>SUM(Y25,Y28,Y31,Y34,Y37,Y40,Y43,Y46,Y49)</f>
        <v>188</v>
      </c>
    </row>
    <row r="54" spans="1:49" s="70" customFormat="1" ht="21" customHeight="1" x14ac:dyDescent="0.2">
      <c r="A54" s="454"/>
      <c r="B54" s="443" t="s">
        <v>53</v>
      </c>
      <c r="C54" s="444"/>
      <c r="D54" s="444"/>
      <c r="E54" s="431">
        <f>SUM(G25:K25,G28:K28,G31:K31,G34:K34,G37:K37,G40:K40,G43:K43,G46:K46,G49:K49)</f>
        <v>366</v>
      </c>
      <c r="F54" s="432"/>
      <c r="G54" s="443" t="s">
        <v>55</v>
      </c>
      <c r="H54" s="444"/>
      <c r="I54" s="444"/>
      <c r="J54" s="107"/>
      <c r="K54" s="107"/>
      <c r="L54" s="108"/>
      <c r="M54" s="109">
        <f>E54+M53</f>
        <v>562</v>
      </c>
      <c r="N54" s="443" t="s">
        <v>53</v>
      </c>
      <c r="O54" s="444"/>
      <c r="P54" s="444"/>
      <c r="Q54" s="431">
        <f>SUM(S25:W25,S28:W28,S31:W31,S34:W34,S37:W37,S40:W40,S43:W43,S46:W46,S49:W49)</f>
        <v>373</v>
      </c>
      <c r="R54" s="432"/>
      <c r="S54" s="443" t="s">
        <v>55</v>
      </c>
      <c r="T54" s="444"/>
      <c r="U54" s="444"/>
      <c r="V54" s="110"/>
      <c r="W54" s="110"/>
      <c r="X54" s="111"/>
      <c r="Y54" s="112">
        <f>Q54+Y53</f>
        <v>561</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4E,1D,1C</v>
      </c>
      <c r="Y55" s="493"/>
    </row>
    <row r="56" spans="1:49" s="70" customFormat="1" ht="21" customHeight="1" thickTop="1" x14ac:dyDescent="0.2">
      <c r="A56" s="453" t="s">
        <v>49</v>
      </c>
      <c r="B56" s="101" t="s">
        <v>52</v>
      </c>
      <c r="C56" s="102"/>
      <c r="D56" s="102"/>
      <c r="E56" s="422">
        <f>SUM(G58:J58)</f>
        <v>14</v>
      </c>
      <c r="F56" s="423"/>
      <c r="G56" s="103" t="s">
        <v>5</v>
      </c>
      <c r="H56" s="104"/>
      <c r="I56" s="104"/>
      <c r="J56" s="104"/>
      <c r="K56" s="104"/>
      <c r="L56" s="105"/>
      <c r="M56" s="116">
        <f>M53/14</f>
        <v>14</v>
      </c>
      <c r="N56" s="101" t="s">
        <v>52</v>
      </c>
      <c r="O56" s="102"/>
      <c r="P56" s="102"/>
      <c r="Q56" s="422">
        <f>SUM(S58:V58)</f>
        <v>14.5</v>
      </c>
      <c r="R56" s="423"/>
      <c r="S56" s="103" t="s">
        <v>5</v>
      </c>
      <c r="T56" s="104"/>
      <c r="U56" s="104"/>
      <c r="V56" s="104"/>
      <c r="W56" s="104"/>
      <c r="X56" s="117"/>
      <c r="Y56" s="118">
        <f>Y53/14</f>
        <v>13.428571428571429</v>
      </c>
    </row>
    <row r="57" spans="1:49" s="70" customFormat="1" ht="21" customHeight="1" x14ac:dyDescent="0.2">
      <c r="A57" s="454"/>
      <c r="B57" s="443" t="s">
        <v>53</v>
      </c>
      <c r="C57" s="444"/>
      <c r="D57" s="444"/>
      <c r="E57" s="424">
        <f>SUM(G58:K58)</f>
        <v>26.142857142857142</v>
      </c>
      <c r="F57" s="425"/>
      <c r="G57" s="443" t="s">
        <v>55</v>
      </c>
      <c r="H57" s="444"/>
      <c r="I57" s="444"/>
      <c r="J57" s="107"/>
      <c r="K57" s="107"/>
      <c r="L57" s="88"/>
      <c r="M57" s="119">
        <f>E57+M56</f>
        <v>40.142857142857139</v>
      </c>
      <c r="N57" s="443" t="s">
        <v>53</v>
      </c>
      <c r="O57" s="444"/>
      <c r="P57" s="444"/>
      <c r="Q57" s="424">
        <f>SUM(S58:W58)</f>
        <v>26.642857142857142</v>
      </c>
      <c r="R57" s="425"/>
      <c r="S57" s="443" t="s">
        <v>55</v>
      </c>
      <c r="T57" s="444"/>
      <c r="U57" s="444"/>
      <c r="V57" s="120"/>
      <c r="W57" s="120"/>
      <c r="X57" s="121"/>
      <c r="Y57" s="122">
        <f>Y54/14</f>
        <v>40.071428571428569</v>
      </c>
    </row>
    <row r="58" spans="1:49" s="70" customFormat="1" ht="21" customHeight="1" thickBot="1" x14ac:dyDescent="0.25">
      <c r="A58" s="455"/>
      <c r="B58" s="465" t="s">
        <v>8</v>
      </c>
      <c r="C58" s="466"/>
      <c r="D58" s="123"/>
      <c r="E58" s="123"/>
      <c r="F58" s="124"/>
      <c r="G58" s="125">
        <f>(G25+G28+G31+G34+G37+G40+G43+G46+G49)/14</f>
        <v>7</v>
      </c>
      <c r="H58" s="125">
        <f>(H25+H28+H31+H34+H37+H40+H43+H46+H49)/14</f>
        <v>0</v>
      </c>
      <c r="I58" s="125">
        <f t="shared" ref="I58:K58" si="0">(I25+I28+I31+I34+I37+I40+I43+I46+I49)/14</f>
        <v>2</v>
      </c>
      <c r="J58" s="125">
        <f t="shared" si="0"/>
        <v>5</v>
      </c>
      <c r="K58" s="125">
        <f t="shared" si="0"/>
        <v>12.142857142857142</v>
      </c>
      <c r="L58" s="501" t="s">
        <v>54</v>
      </c>
      <c r="M58" s="502"/>
      <c r="N58" s="465" t="s">
        <v>8</v>
      </c>
      <c r="O58" s="466"/>
      <c r="P58" s="123"/>
      <c r="Q58" s="123"/>
      <c r="R58" s="124"/>
      <c r="S58" s="125">
        <f>(S25+S28+S31+S34+S37+S40+S43+S46+S49)/14</f>
        <v>8</v>
      </c>
      <c r="T58" s="125">
        <f>(T25+T28+T31+T34+T37+T40+T43+T46+T49)/14</f>
        <v>0.5</v>
      </c>
      <c r="U58" s="125">
        <f t="shared" ref="U58:W58" si="1">(U25+U28+U31+U34+U37+U40+U43+U46+U49)/14</f>
        <v>4</v>
      </c>
      <c r="V58" s="125">
        <f t="shared" si="1"/>
        <v>2</v>
      </c>
      <c r="W58" s="125">
        <f t="shared" si="1"/>
        <v>12.142857142857142</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270</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2023-2025</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(2024-2025)</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310</v>
      </c>
      <c r="C65" s="438"/>
      <c r="D65" s="438"/>
      <c r="E65" s="438"/>
      <c r="F65" s="438"/>
      <c r="G65" s="438"/>
      <c r="H65" s="438"/>
      <c r="I65" s="438"/>
      <c r="J65" s="438"/>
      <c r="K65" s="438"/>
      <c r="L65" s="438"/>
      <c r="M65" s="439"/>
      <c r="N65" s="445" t="s">
        <v>269</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M460.23.03.A1-ij</v>
      </c>
      <c r="C67" s="404"/>
      <c r="D67" s="405"/>
      <c r="E67" s="362">
        <v>6</v>
      </c>
      <c r="F67" s="359" t="s">
        <v>4</v>
      </c>
      <c r="G67" s="359">
        <v>28</v>
      </c>
      <c r="H67" s="359">
        <v>0</v>
      </c>
      <c r="I67" s="359">
        <v>14</v>
      </c>
      <c r="J67" s="359">
        <v>14</v>
      </c>
      <c r="K67" s="360">
        <v>0</v>
      </c>
      <c r="L67" s="361" t="s">
        <v>289</v>
      </c>
      <c r="M67" s="305">
        <v>56</v>
      </c>
      <c r="N67" s="403" t="str">
        <f>IF(ISBLANK(N65),"",CONCATENATE($E$17,$F$17,".",$G$17,".","0",RIGHT($N$64,1),".",RIGHT(X67,1),$A65,IF(COUNTIFS(N65,"*op?ional*")=1,"-ij","")))</f>
        <v>M460.23.04.V1</v>
      </c>
      <c r="O67" s="404"/>
      <c r="P67" s="405"/>
      <c r="Q67" s="300">
        <v>15</v>
      </c>
      <c r="R67" s="300" t="s">
        <v>268</v>
      </c>
      <c r="S67" s="301">
        <v>0</v>
      </c>
      <c r="T67" s="302">
        <v>0</v>
      </c>
      <c r="U67" s="302">
        <v>0</v>
      </c>
      <c r="V67" s="302">
        <v>0</v>
      </c>
      <c r="W67" s="303">
        <v>182</v>
      </c>
      <c r="X67" s="304" t="s">
        <v>44</v>
      </c>
      <c r="Y67" s="305">
        <v>193</v>
      </c>
    </row>
    <row r="68" spans="1:25" s="134" customFormat="1" ht="21" customHeight="1" thickTop="1" x14ac:dyDescent="0.2">
      <c r="A68" s="394" t="s">
        <v>29</v>
      </c>
      <c r="B68" s="450" t="s">
        <v>294</v>
      </c>
      <c r="C68" s="451"/>
      <c r="D68" s="451"/>
      <c r="E68" s="451"/>
      <c r="F68" s="451"/>
      <c r="G68" s="451"/>
      <c r="H68" s="451"/>
      <c r="I68" s="451"/>
      <c r="J68" s="451"/>
      <c r="K68" s="451"/>
      <c r="L68" s="451"/>
      <c r="M68" s="452"/>
      <c r="N68" s="445" t="s">
        <v>267</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54.75" customHeight="1" thickBot="1" x14ac:dyDescent="0.25">
      <c r="A70" s="396"/>
      <c r="B70" s="403" t="str">
        <f>IF(ISBLANK(B68),"",CONCATENATE($E$17,$F$17,".",$G$17,".","0",RIGHT($B$64,1),".",RIGHT(L70,1),$A68,IF(COUNTIFS(B68,"*op?ional*")=1,"-ij","")))</f>
        <v>M460.23.03.S2-ij</v>
      </c>
      <c r="C70" s="404"/>
      <c r="D70" s="405"/>
      <c r="E70" s="362">
        <v>5</v>
      </c>
      <c r="F70" s="359" t="s">
        <v>4</v>
      </c>
      <c r="G70" s="359">
        <v>14</v>
      </c>
      <c r="H70" s="359">
        <v>0</v>
      </c>
      <c r="I70" s="359">
        <v>0</v>
      </c>
      <c r="J70" s="359">
        <v>14</v>
      </c>
      <c r="K70" s="303">
        <v>0</v>
      </c>
      <c r="L70" s="304" t="s">
        <v>152</v>
      </c>
      <c r="M70" s="305">
        <v>28</v>
      </c>
      <c r="N70" s="403" t="str">
        <f>IF(ISBLANK(N68),"",CONCATENATE($E$17,$F$17,".",$G$17,".","0",RIGHT($N$64,1),".",RIGHT(X70,1),$A68,IF(COUNTIFS(N68,"*op?ional*")=1,"-ij","")))</f>
        <v>M460.23.04.V2</v>
      </c>
      <c r="O70" s="404"/>
      <c r="P70" s="405"/>
      <c r="Q70" s="300">
        <v>15</v>
      </c>
      <c r="R70" s="300" t="s">
        <v>268</v>
      </c>
      <c r="S70" s="301">
        <v>2</v>
      </c>
      <c r="T70" s="302">
        <v>0</v>
      </c>
      <c r="U70" s="302">
        <v>4</v>
      </c>
      <c r="V70" s="302">
        <v>0</v>
      </c>
      <c r="W70" s="303">
        <v>182</v>
      </c>
      <c r="X70" s="304" t="s">
        <v>44</v>
      </c>
      <c r="Y70" s="314">
        <v>193</v>
      </c>
    </row>
    <row r="71" spans="1:25" s="134" customFormat="1" ht="21" customHeight="1" thickTop="1" x14ac:dyDescent="0.2">
      <c r="A71" s="394" t="s">
        <v>30</v>
      </c>
      <c r="B71" s="450" t="s">
        <v>290</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M460.23.03.S3</v>
      </c>
      <c r="C73" s="404"/>
      <c r="D73" s="405"/>
      <c r="E73" s="362">
        <v>6</v>
      </c>
      <c r="F73" s="359" t="s">
        <v>4</v>
      </c>
      <c r="G73" s="359">
        <v>28</v>
      </c>
      <c r="H73" s="359">
        <v>0</v>
      </c>
      <c r="I73" s="359">
        <v>14</v>
      </c>
      <c r="J73" s="359">
        <v>14</v>
      </c>
      <c r="K73" s="303">
        <v>0</v>
      </c>
      <c r="L73" s="304" t="s">
        <v>152</v>
      </c>
      <c r="M73" s="305">
        <v>56</v>
      </c>
      <c r="N73" s="403" t="str">
        <f>IF(ISBLANK(N71),"",CONCATENATE($E$17,$F$17,".",$G$17,".","0",RIGHT($N$64,1),".",RIGHT(X73,1),$A71,IF(COUNTIFS(N71,"*op?ional*")=1,"-ij","")))</f>
        <v>M460.23.04.S3</v>
      </c>
      <c r="O73" s="404"/>
      <c r="P73" s="405"/>
      <c r="Q73" s="309">
        <v>10</v>
      </c>
      <c r="R73" s="309" t="s">
        <v>4</v>
      </c>
      <c r="S73" s="310">
        <v>0</v>
      </c>
      <c r="T73" s="311">
        <v>0</v>
      </c>
      <c r="U73" s="311">
        <v>0</v>
      </c>
      <c r="V73" s="311">
        <v>0</v>
      </c>
      <c r="W73" s="312">
        <v>0</v>
      </c>
      <c r="X73" s="313" t="s">
        <v>152</v>
      </c>
      <c r="Y73" s="314">
        <v>250</v>
      </c>
    </row>
    <row r="74" spans="1:25" s="134" customFormat="1" ht="21" customHeight="1" thickTop="1" x14ac:dyDescent="0.2">
      <c r="A74" s="394" t="s">
        <v>31</v>
      </c>
      <c r="B74" s="450" t="s">
        <v>292</v>
      </c>
      <c r="C74" s="451"/>
      <c r="D74" s="451"/>
      <c r="E74" s="451"/>
      <c r="F74" s="451"/>
      <c r="G74" s="451"/>
      <c r="H74" s="451"/>
      <c r="I74" s="451"/>
      <c r="J74" s="451"/>
      <c r="K74" s="451"/>
      <c r="L74" s="451"/>
      <c r="M74" s="452"/>
      <c r="N74" s="445"/>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M460.23.03.V4</v>
      </c>
      <c r="C76" s="404"/>
      <c r="D76" s="405"/>
      <c r="E76" s="362">
        <v>6</v>
      </c>
      <c r="F76" s="359" t="s">
        <v>4</v>
      </c>
      <c r="G76" s="359">
        <v>28</v>
      </c>
      <c r="H76" s="359">
        <v>0</v>
      </c>
      <c r="I76" s="359">
        <v>14</v>
      </c>
      <c r="J76" s="359">
        <v>14</v>
      </c>
      <c r="K76" s="303">
        <v>0</v>
      </c>
      <c r="L76" s="304" t="s">
        <v>44</v>
      </c>
      <c r="M76" s="305">
        <v>56</v>
      </c>
      <c r="N76" s="403" t="str">
        <f>IF(ISBLANK(N74),"",CONCATENATE($E$17,$F$17,".",$G$17,".","0",RIGHT($N$64,1),".",RIGHT(X76,1),$A74,IF(COUNTIFS(N74,"*op?ional*")=1,"-ij","")))</f>
        <v/>
      </c>
      <c r="O76" s="404"/>
      <c r="P76" s="405"/>
      <c r="Q76" s="309"/>
      <c r="R76" s="309"/>
      <c r="S76" s="310"/>
      <c r="T76" s="311"/>
      <c r="U76" s="311"/>
      <c r="V76" s="311"/>
      <c r="W76" s="312"/>
      <c r="X76" s="313"/>
      <c r="Y76" s="314"/>
    </row>
    <row r="77" spans="1:25" s="134" customFormat="1" ht="21" customHeight="1" thickTop="1" x14ac:dyDescent="0.2">
      <c r="A77" s="394" t="s">
        <v>32</v>
      </c>
      <c r="B77" s="450" t="s">
        <v>291</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M460.23.03.S5</v>
      </c>
      <c r="C79" s="404"/>
      <c r="D79" s="405"/>
      <c r="E79" s="300">
        <v>7</v>
      </c>
      <c r="F79" s="300" t="s">
        <v>140</v>
      </c>
      <c r="G79" s="301"/>
      <c r="H79" s="302"/>
      <c r="I79" s="302"/>
      <c r="J79" s="302"/>
      <c r="K79" s="303">
        <v>170</v>
      </c>
      <c r="L79" s="304" t="s">
        <v>152</v>
      </c>
      <c r="M79" s="305"/>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196</v>
      </c>
      <c r="F95" s="434"/>
      <c r="G95" s="103" t="s">
        <v>5</v>
      </c>
      <c r="H95" s="104"/>
      <c r="I95" s="104"/>
      <c r="J95" s="104"/>
      <c r="K95" s="104"/>
      <c r="L95" s="105"/>
      <c r="M95" s="106">
        <f>SUM(M67,M70,M73,M76,M79,M82,M91,M85,M88)</f>
        <v>196</v>
      </c>
      <c r="N95" s="101" t="s">
        <v>52</v>
      </c>
      <c r="O95" s="102"/>
      <c r="P95" s="102"/>
      <c r="Q95" s="469">
        <f>SUM(S67:V67,S70:V70,S73:V73,S76:V76,S79:V79,S82:V82,S91:V91,S85:V85,S88:V88)</f>
        <v>6</v>
      </c>
      <c r="R95" s="470"/>
      <c r="S95" s="103" t="s">
        <v>5</v>
      </c>
      <c r="T95" s="104"/>
      <c r="U95" s="104"/>
      <c r="V95" s="104"/>
      <c r="W95" s="104"/>
      <c r="X95" s="105"/>
      <c r="Y95" s="135">
        <f>SUM(Y67,Y70,Y73,Y76,Y79,Y82,Y85,Y88,Y91)</f>
        <v>636</v>
      </c>
    </row>
    <row r="96" spans="1:25" s="70" customFormat="1" ht="21" customHeight="1" x14ac:dyDescent="0.2">
      <c r="A96" s="454"/>
      <c r="B96" s="443" t="s">
        <v>53</v>
      </c>
      <c r="C96" s="444"/>
      <c r="D96" s="444"/>
      <c r="E96" s="431">
        <f>SUM(G67:K67,G70:K70,G73:K73,G76:K76,G79:K79,G82:K82,G91:K91,G85:K85,G88:K88)</f>
        <v>366</v>
      </c>
      <c r="F96" s="432"/>
      <c r="G96" s="443" t="s">
        <v>55</v>
      </c>
      <c r="H96" s="444"/>
      <c r="I96" s="444"/>
      <c r="J96" s="107"/>
      <c r="K96" s="107"/>
      <c r="L96" s="108"/>
      <c r="M96" s="109">
        <f>E96+M95</f>
        <v>562</v>
      </c>
      <c r="N96" s="443" t="s">
        <v>53</v>
      </c>
      <c r="O96" s="444"/>
      <c r="P96" s="444"/>
      <c r="Q96" s="471">
        <f>SUM(S67:W67,S70:W70,S73:W73,S76:W76,S79:W79,S82:W82,S91:W91,S85:W85,S88:W88)</f>
        <v>370</v>
      </c>
      <c r="R96" s="472"/>
      <c r="S96" s="443" t="s">
        <v>55</v>
      </c>
      <c r="T96" s="444"/>
      <c r="U96" s="444"/>
      <c r="V96" s="110"/>
      <c r="W96" s="110"/>
      <c r="X96" s="111"/>
      <c r="Y96" s="136">
        <f>Q96+Y95</f>
        <v>1006</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1E,2D,0C</v>
      </c>
      <c r="Y97" s="436"/>
    </row>
    <row r="98" spans="1:49" s="70" customFormat="1" ht="21" customHeight="1" thickTop="1" x14ac:dyDescent="0.2">
      <c r="A98" s="453" t="s">
        <v>49</v>
      </c>
      <c r="B98" s="101" t="s">
        <v>52</v>
      </c>
      <c r="C98" s="102"/>
      <c r="D98" s="102"/>
      <c r="E98" s="422">
        <f>SUM(G100:J100)</f>
        <v>14</v>
      </c>
      <c r="F98" s="423"/>
      <c r="G98" s="103" t="s">
        <v>5</v>
      </c>
      <c r="H98" s="104"/>
      <c r="I98" s="104"/>
      <c r="J98" s="104"/>
      <c r="K98" s="104"/>
      <c r="L98" s="105"/>
      <c r="M98" s="116">
        <f>M95/14</f>
        <v>14</v>
      </c>
      <c r="N98" s="101" t="s">
        <v>52</v>
      </c>
      <c r="O98" s="102"/>
      <c r="P98" s="102"/>
      <c r="Q98" s="422">
        <f>SUM(S100:V100)</f>
        <v>0.42857142857142855</v>
      </c>
      <c r="R98" s="423"/>
      <c r="S98" s="103" t="s">
        <v>5</v>
      </c>
      <c r="T98" s="104"/>
      <c r="U98" s="104"/>
      <c r="V98" s="104"/>
      <c r="W98" s="104"/>
      <c r="X98" s="117"/>
      <c r="Y98" s="118">
        <f>Y95/14</f>
        <v>45.428571428571431</v>
      </c>
    </row>
    <row r="99" spans="1:49" s="70" customFormat="1" ht="21" customHeight="1" x14ac:dyDescent="0.2">
      <c r="A99" s="454"/>
      <c r="B99" s="443" t="s">
        <v>53</v>
      </c>
      <c r="C99" s="444"/>
      <c r="D99" s="444"/>
      <c r="E99" s="424">
        <f>SUM(G100:K100)</f>
        <v>26.142857142857142</v>
      </c>
      <c r="F99" s="425"/>
      <c r="G99" s="443" t="s">
        <v>55</v>
      </c>
      <c r="H99" s="444"/>
      <c r="I99" s="444"/>
      <c r="J99" s="107"/>
      <c r="K99" s="107"/>
      <c r="L99" s="88"/>
      <c r="M99" s="119">
        <f>E99+M98</f>
        <v>40.142857142857139</v>
      </c>
      <c r="N99" s="443" t="s">
        <v>53</v>
      </c>
      <c r="O99" s="444"/>
      <c r="P99" s="444"/>
      <c r="Q99" s="424">
        <f>SUM(S100:W100)</f>
        <v>26.428571428571427</v>
      </c>
      <c r="R99" s="425"/>
      <c r="S99" s="443" t="s">
        <v>55</v>
      </c>
      <c r="T99" s="444"/>
      <c r="U99" s="444"/>
      <c r="V99" s="120"/>
      <c r="W99" s="120"/>
      <c r="X99" s="121"/>
      <c r="Y99" s="122">
        <f>Y96/14</f>
        <v>71.857142857142861</v>
      </c>
    </row>
    <row r="100" spans="1:49" s="70" customFormat="1" ht="21" customHeight="1" thickBot="1" x14ac:dyDescent="0.25">
      <c r="A100" s="455"/>
      <c r="B100" s="465" t="s">
        <v>8</v>
      </c>
      <c r="C100" s="466"/>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12.142857142857142</v>
      </c>
      <c r="L100" s="501" t="s">
        <v>54</v>
      </c>
      <c r="M100" s="502"/>
      <c r="N100" s="465" t="s">
        <v>8</v>
      </c>
      <c r="O100" s="466"/>
      <c r="P100" s="123"/>
      <c r="Q100" s="123"/>
      <c r="R100" s="124"/>
      <c r="S100" s="125">
        <f>(S67+S70+S73+S76+S79+S82+S85+S88+S91)/14</f>
        <v>0.14285714285714285</v>
      </c>
      <c r="T100" s="125">
        <f>(T67+T70+T73+T76+T79+T82+T85+T88+T91)/14</f>
        <v>0</v>
      </c>
      <c r="U100" s="125">
        <f t="shared" ref="U100:W100" si="3">(U67+U70+U73+U76+U79+U82+U85+U88+U91)/14</f>
        <v>0.2857142857142857</v>
      </c>
      <c r="V100" s="125">
        <f t="shared" si="3"/>
        <v>0</v>
      </c>
      <c r="W100" s="125">
        <f t="shared" si="3"/>
        <v>26</v>
      </c>
      <c r="X100" s="501" t="s">
        <v>54</v>
      </c>
      <c r="Y100" s="502"/>
    </row>
    <row r="101" spans="1:49" ht="21" customHeight="1" thickTop="1" x14ac:dyDescent="0.2">
      <c r="A101" s="426" t="s">
        <v>271</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270</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2023-2025</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(2023-2024)</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t="s">
        <v>306</v>
      </c>
      <c r="C113" s="463"/>
      <c r="D113" s="463"/>
      <c r="E113" s="463"/>
      <c r="F113" s="463"/>
      <c r="G113" s="463"/>
      <c r="H113" s="463"/>
      <c r="I113" s="463"/>
      <c r="J113" s="463"/>
      <c r="K113" s="463"/>
      <c r="L113" s="463"/>
      <c r="M113" s="464"/>
      <c r="N113" s="462" t="s">
        <v>308</v>
      </c>
      <c r="O113" s="463"/>
      <c r="P113" s="463"/>
      <c r="Q113" s="463"/>
      <c r="R113" s="463"/>
      <c r="S113" s="463"/>
      <c r="T113" s="463"/>
      <c r="U113" s="463"/>
      <c r="V113" s="463"/>
      <c r="W113" s="463"/>
      <c r="X113" s="463"/>
      <c r="Y113" s="464"/>
    </row>
    <row r="114" spans="1:25" s="134" customFormat="1" ht="21" customHeight="1" x14ac:dyDescent="0.2">
      <c r="A114" s="395"/>
      <c r="B114" s="459"/>
      <c r="C114" s="460"/>
      <c r="D114" s="460"/>
      <c r="E114" s="460"/>
      <c r="F114" s="460"/>
      <c r="G114" s="460"/>
      <c r="H114" s="460"/>
      <c r="I114" s="460"/>
      <c r="J114" s="460"/>
      <c r="K114" s="460"/>
      <c r="L114" s="460"/>
      <c r="M114" s="461"/>
      <c r="N114" s="459"/>
      <c r="O114" s="460"/>
      <c r="P114" s="460"/>
      <c r="Q114" s="460"/>
      <c r="R114" s="460"/>
      <c r="S114" s="460"/>
      <c r="T114" s="460"/>
      <c r="U114" s="460"/>
      <c r="V114" s="460"/>
      <c r="W114" s="460"/>
      <c r="X114" s="460"/>
      <c r="Y114" s="461"/>
    </row>
    <row r="115" spans="1:25" s="134" customFormat="1" ht="21" customHeight="1" thickBot="1" x14ac:dyDescent="0.25">
      <c r="A115" s="396"/>
      <c r="B115" s="403" t="str">
        <f>IF(ISBLANK(B113),"",CONCATENATE(LEFT(INDEX(B$23:B$49,MATCH(LEFT(B113,11)&amp;"*",B$23:B$49,0)+2),FIND("-",INDEX(B$23:B$49,MATCH(LEFT(B113,11)&amp;"*",B$23:B$49,0)+2))),$A113))</f>
        <v>M460.23.01.V2-01</v>
      </c>
      <c r="C115" s="404"/>
      <c r="D115" s="405"/>
      <c r="E115" s="362">
        <v>5</v>
      </c>
      <c r="F115" s="359" t="s">
        <v>4</v>
      </c>
      <c r="G115" s="359">
        <v>28</v>
      </c>
      <c r="H115" s="359">
        <v>0</v>
      </c>
      <c r="I115" s="359">
        <v>14</v>
      </c>
      <c r="J115" s="359">
        <v>0</v>
      </c>
      <c r="K115" s="373">
        <v>0</v>
      </c>
      <c r="L115" s="365" t="s">
        <v>44</v>
      </c>
      <c r="M115" s="305">
        <v>42</v>
      </c>
      <c r="N115" s="403" t="str">
        <f>IF(ISBLANK(N113),"",CONCATENATE(LEFT(INDEX(N$23:N$49,MATCH(LEFT(N113,11)&amp;"*",N$23:N$49,0)+2),FIND("-",INDEX(N$23:N$49,MATCH(LEFT(N113,11)&amp;"*",N$23:N$49,0)+2))),$A113))</f>
        <v>M460.23.02.A2-01</v>
      </c>
      <c r="O115" s="404"/>
      <c r="P115" s="405"/>
      <c r="Q115" s="362">
        <v>5</v>
      </c>
      <c r="R115" s="359" t="s">
        <v>4</v>
      </c>
      <c r="S115" s="359">
        <v>28</v>
      </c>
      <c r="T115" s="359">
        <v>0</v>
      </c>
      <c r="U115" s="359">
        <v>14</v>
      </c>
      <c r="V115" s="359">
        <v>0</v>
      </c>
      <c r="W115" s="360">
        <v>0</v>
      </c>
      <c r="X115" s="365" t="s">
        <v>289</v>
      </c>
      <c r="Y115" s="374">
        <v>42</v>
      </c>
    </row>
    <row r="116" spans="1:25" s="134" customFormat="1" ht="21" customHeight="1" thickTop="1" x14ac:dyDescent="0.2">
      <c r="A116" s="395" t="s">
        <v>34</v>
      </c>
      <c r="B116" s="456" t="s">
        <v>307</v>
      </c>
      <c r="C116" s="457"/>
      <c r="D116" s="457"/>
      <c r="E116" s="457"/>
      <c r="F116" s="457"/>
      <c r="G116" s="457"/>
      <c r="H116" s="457"/>
      <c r="I116" s="457"/>
      <c r="J116" s="457"/>
      <c r="K116" s="457"/>
      <c r="L116" s="457"/>
      <c r="M116" s="458"/>
      <c r="N116" s="462" t="s">
        <v>309</v>
      </c>
      <c r="O116" s="463"/>
      <c r="P116" s="463"/>
      <c r="Q116" s="463"/>
      <c r="R116" s="463"/>
      <c r="S116" s="463"/>
      <c r="T116" s="463"/>
      <c r="U116" s="463"/>
      <c r="V116" s="463"/>
      <c r="W116" s="463"/>
      <c r="X116" s="463"/>
      <c r="Y116" s="464"/>
    </row>
    <row r="117" spans="1:25" s="134" customFormat="1" ht="21" customHeight="1" x14ac:dyDescent="0.2">
      <c r="A117" s="395"/>
      <c r="B117" s="459"/>
      <c r="C117" s="460"/>
      <c r="D117" s="460"/>
      <c r="E117" s="460"/>
      <c r="F117" s="460"/>
      <c r="G117" s="460"/>
      <c r="H117" s="460"/>
      <c r="I117" s="460"/>
      <c r="J117" s="460"/>
      <c r="K117" s="460"/>
      <c r="L117" s="460"/>
      <c r="M117" s="461"/>
      <c r="N117" s="459"/>
      <c r="O117" s="460"/>
      <c r="P117" s="460"/>
      <c r="Q117" s="460"/>
      <c r="R117" s="460"/>
      <c r="S117" s="460"/>
      <c r="T117" s="460"/>
      <c r="U117" s="460"/>
      <c r="V117" s="460"/>
      <c r="W117" s="460"/>
      <c r="X117" s="460"/>
      <c r="Y117" s="461"/>
    </row>
    <row r="118" spans="1:25" s="134" customFormat="1" ht="21" customHeight="1" thickBot="1" x14ac:dyDescent="0.25">
      <c r="A118" s="396"/>
      <c r="B118" s="403" t="str">
        <f>IF(ISBLANK(B116),"",CONCATENATE(LEFT(INDEX(B$23:B$49,MATCH(LEFT(B116,11)&amp;"*",B$23:B$49,0)+2),FIND("-",INDEX(B$23:B$49,MATCH(LEFT(B116,11)&amp;"*",B$23:B$49,0)+2))),$A116))</f>
        <v>M460.23.01.V2-02</v>
      </c>
      <c r="C118" s="404"/>
      <c r="D118" s="405"/>
      <c r="E118" s="362">
        <v>5</v>
      </c>
      <c r="F118" s="359" t="s">
        <v>4</v>
      </c>
      <c r="G118" s="359">
        <v>28</v>
      </c>
      <c r="H118" s="359">
        <v>0</v>
      </c>
      <c r="I118" s="359">
        <v>14</v>
      </c>
      <c r="J118" s="359">
        <v>0</v>
      </c>
      <c r="K118" s="373">
        <v>0</v>
      </c>
      <c r="L118" s="365" t="s">
        <v>44</v>
      </c>
      <c r="M118" s="374">
        <v>42</v>
      </c>
      <c r="N118" s="403" t="str">
        <f>IF(ISBLANK(N116),"",CONCATENATE(LEFT(INDEX(N$23:N$49,MATCH(LEFT(N116,11)&amp;"*",N$23:N$49,0)+2),FIND("-",INDEX(N$23:N$49,MATCH(LEFT(N116,11)&amp;"*",N$23:N$49,0)+2))),$A116))</f>
        <v>M460.23.02.A2-02</v>
      </c>
      <c r="O118" s="404"/>
      <c r="P118" s="405"/>
      <c r="Q118" s="362">
        <v>5</v>
      </c>
      <c r="R118" s="359" t="s">
        <v>4</v>
      </c>
      <c r="S118" s="359">
        <v>28</v>
      </c>
      <c r="T118" s="359">
        <v>0</v>
      </c>
      <c r="U118" s="359">
        <v>14</v>
      </c>
      <c r="V118" s="359">
        <v>0</v>
      </c>
      <c r="W118" s="360">
        <v>0</v>
      </c>
      <c r="X118" s="365" t="s">
        <v>289</v>
      </c>
      <c r="Y118" s="374">
        <v>42</v>
      </c>
    </row>
    <row r="119" spans="1:25" s="134" customFormat="1" ht="21" customHeight="1" thickTop="1" x14ac:dyDescent="0.2">
      <c r="A119" s="394" t="s">
        <v>35</v>
      </c>
      <c r="B119" s="462" t="s">
        <v>315</v>
      </c>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M460.23.01.S3-03</v>
      </c>
      <c r="C121" s="404"/>
      <c r="D121" s="405"/>
      <c r="E121" s="362">
        <v>5</v>
      </c>
      <c r="F121" s="359" t="s">
        <v>4</v>
      </c>
      <c r="G121" s="359">
        <v>14</v>
      </c>
      <c r="H121" s="359">
        <v>0</v>
      </c>
      <c r="I121" s="359">
        <v>0</v>
      </c>
      <c r="J121" s="359">
        <v>28</v>
      </c>
      <c r="K121" s="360">
        <v>0</v>
      </c>
      <c r="L121" s="365" t="s">
        <v>152</v>
      </c>
      <c r="M121" s="374">
        <v>28</v>
      </c>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
      <c r="A122" s="394" t="s">
        <v>36</v>
      </c>
      <c r="B122" s="462" t="s">
        <v>316</v>
      </c>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M460.23.01.S3-04</v>
      </c>
      <c r="C124" s="404"/>
      <c r="D124" s="405"/>
      <c r="E124" s="362">
        <v>5</v>
      </c>
      <c r="F124" s="359" t="s">
        <v>4</v>
      </c>
      <c r="G124" s="359">
        <v>14</v>
      </c>
      <c r="H124" s="359">
        <v>0</v>
      </c>
      <c r="I124" s="359">
        <v>0</v>
      </c>
      <c r="J124" s="359">
        <v>28</v>
      </c>
      <c r="K124" s="360">
        <v>0</v>
      </c>
      <c r="L124" s="365" t="s">
        <v>152</v>
      </c>
      <c r="M124" s="374">
        <v>28</v>
      </c>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272</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2023-2025</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(2024-2025)</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6" t="s">
        <v>311</v>
      </c>
      <c r="C151" s="457"/>
      <c r="D151" s="457"/>
      <c r="E151" s="457"/>
      <c r="F151" s="457"/>
      <c r="G151" s="457"/>
      <c r="H151" s="457"/>
      <c r="I151" s="457"/>
      <c r="J151" s="457"/>
      <c r="K151" s="457"/>
      <c r="L151" s="457"/>
      <c r="M151" s="458"/>
      <c r="N151" s="462"/>
      <c r="O151" s="463"/>
      <c r="P151" s="463"/>
      <c r="Q151" s="463"/>
      <c r="R151" s="463"/>
      <c r="S151" s="463"/>
      <c r="T151" s="463"/>
      <c r="U151" s="463"/>
      <c r="V151" s="463"/>
      <c r="W151" s="463"/>
      <c r="X151" s="463"/>
      <c r="Y151" s="464"/>
    </row>
    <row r="152" spans="1:74" s="134" customFormat="1" ht="21" customHeight="1" x14ac:dyDescent="0.2">
      <c r="A152" s="395"/>
      <c r="B152" s="459"/>
      <c r="C152" s="460"/>
      <c r="D152" s="460"/>
      <c r="E152" s="460"/>
      <c r="F152" s="460"/>
      <c r="G152" s="460"/>
      <c r="H152" s="460"/>
      <c r="I152" s="460"/>
      <c r="J152" s="460"/>
      <c r="K152" s="460"/>
      <c r="L152" s="460"/>
      <c r="M152" s="461"/>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M460.23.03.A1-01</v>
      </c>
      <c r="C153" s="404"/>
      <c r="D153" s="405"/>
      <c r="E153" s="362">
        <v>6</v>
      </c>
      <c r="F153" s="359" t="s">
        <v>4</v>
      </c>
      <c r="G153" s="359">
        <v>28</v>
      </c>
      <c r="H153" s="359">
        <v>0</v>
      </c>
      <c r="I153" s="359">
        <v>14</v>
      </c>
      <c r="J153" s="359">
        <v>14</v>
      </c>
      <c r="K153" s="303">
        <v>0</v>
      </c>
      <c r="L153" s="304" t="s">
        <v>289</v>
      </c>
      <c r="M153" s="305">
        <v>56</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6" t="s">
        <v>312</v>
      </c>
      <c r="C154" s="457"/>
      <c r="D154" s="457"/>
      <c r="E154" s="457"/>
      <c r="F154" s="457"/>
      <c r="G154" s="457"/>
      <c r="H154" s="457"/>
      <c r="I154" s="457"/>
      <c r="J154" s="457"/>
      <c r="K154" s="457"/>
      <c r="L154" s="457"/>
      <c r="M154" s="458"/>
      <c r="N154" s="462"/>
      <c r="O154" s="463"/>
      <c r="P154" s="463"/>
      <c r="Q154" s="463"/>
      <c r="R154" s="463"/>
      <c r="S154" s="463"/>
      <c r="T154" s="463"/>
      <c r="U154" s="463"/>
      <c r="V154" s="463"/>
      <c r="W154" s="463"/>
      <c r="X154" s="463"/>
      <c r="Y154" s="464"/>
    </row>
    <row r="155" spans="1:74" s="134" customFormat="1" ht="21" customHeight="1" x14ac:dyDescent="0.2">
      <c r="A155" s="395"/>
      <c r="B155" s="459"/>
      <c r="C155" s="460"/>
      <c r="D155" s="460"/>
      <c r="E155" s="460"/>
      <c r="F155" s="460"/>
      <c r="G155" s="460"/>
      <c r="H155" s="460"/>
      <c r="I155" s="460"/>
      <c r="J155" s="460"/>
      <c r="K155" s="460"/>
      <c r="L155" s="460"/>
      <c r="M155" s="461"/>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M460.23.03.A1-02</v>
      </c>
      <c r="C156" s="404"/>
      <c r="D156" s="405"/>
      <c r="E156" s="362">
        <v>6</v>
      </c>
      <c r="F156" s="359" t="s">
        <v>4</v>
      </c>
      <c r="G156" s="359">
        <v>28</v>
      </c>
      <c r="H156" s="359">
        <v>0</v>
      </c>
      <c r="I156" s="359">
        <v>14</v>
      </c>
      <c r="J156" s="359">
        <v>14</v>
      </c>
      <c r="K156" s="303">
        <v>0</v>
      </c>
      <c r="L156" s="304" t="s">
        <v>289</v>
      </c>
      <c r="M156" s="305">
        <v>56</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t="s">
        <v>313</v>
      </c>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M460.23.03.S2-03</v>
      </c>
      <c r="C159" s="404"/>
      <c r="D159" s="405"/>
      <c r="E159" s="362">
        <v>5</v>
      </c>
      <c r="F159" s="359" t="s">
        <v>4</v>
      </c>
      <c r="G159" s="359">
        <v>14</v>
      </c>
      <c r="H159" s="359">
        <v>0</v>
      </c>
      <c r="I159" s="359">
        <v>0</v>
      </c>
      <c r="J159" s="359">
        <v>14</v>
      </c>
      <c r="K159" s="360">
        <v>0</v>
      </c>
      <c r="L159" s="300" t="s">
        <v>152</v>
      </c>
      <c r="M159" s="300">
        <v>28</v>
      </c>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t="s">
        <v>314</v>
      </c>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M460.23.03.S2-04</v>
      </c>
      <c r="C162" s="404"/>
      <c r="D162" s="405"/>
      <c r="E162" s="362">
        <v>5</v>
      </c>
      <c r="F162" s="359" t="s">
        <v>4</v>
      </c>
      <c r="G162" s="359">
        <v>14</v>
      </c>
      <c r="H162" s="359">
        <v>0</v>
      </c>
      <c r="I162" s="359">
        <v>0</v>
      </c>
      <c r="J162" s="359">
        <v>14</v>
      </c>
      <c r="K162" s="360">
        <v>0</v>
      </c>
      <c r="L162" s="300" t="s">
        <v>152</v>
      </c>
      <c r="M162" s="300">
        <v>28</v>
      </c>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272</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273</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2023-2025</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(2023-2024)</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t="s">
        <v>318</v>
      </c>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M460.23.02.f10-01</v>
      </c>
      <c r="O218" s="404"/>
      <c r="P218" s="405"/>
      <c r="Q218" s="349">
        <v>2</v>
      </c>
      <c r="R218" s="349" t="s">
        <v>140</v>
      </c>
      <c r="S218" s="350">
        <v>0</v>
      </c>
      <c r="T218" s="351">
        <v>28</v>
      </c>
      <c r="U218" s="351">
        <v>0</v>
      </c>
      <c r="V218" s="351">
        <v>0</v>
      </c>
      <c r="W218" s="352">
        <v>0</v>
      </c>
      <c r="X218" s="344" t="s">
        <v>320</v>
      </c>
      <c r="Y218" s="348">
        <v>22</v>
      </c>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274</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273</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2023-2025</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(2024-2025)</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274</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3</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0</v>
      </c>
      <c r="BB449" s="212">
        <f t="shared" ref="BB449:BD449" si="7">SUM(BB440:BB448)</f>
        <v>0</v>
      </c>
      <c r="BC449" s="212">
        <f t="shared" si="7"/>
        <v>0</v>
      </c>
      <c r="BD449" s="212">
        <f t="shared" si="7"/>
        <v>0</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182</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MECANICA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IMPLANTURI, PROTEZE SI EVALUARE BIOMECANICĂ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M460.23.01.V1</v>
      </c>
      <c r="AU480" s="204">
        <v>1</v>
      </c>
      <c r="AV480" s="204" t="str">
        <f>IF(COUNTIFS($B$23,"&lt;&gt;"&amp;"",$B$23,"&lt;&gt;*op?ional*",$B$23,"&lt;&gt;*Disciplin? facultativ?*"),$B$23,"")</f>
        <v>Tehnici de achiziţie  şi monitorizare în asistenţa medicală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DCAV</v>
      </c>
      <c r="BQ480" s="206">
        <f>IF($AV480="","",IF($BC480&lt;&gt;"",$BC480,0)+IF($BI480&lt;&gt;"",$BI480,0)+IF($BM480&lt;&gt;"",$BM480,0))</f>
        <v>8</v>
      </c>
      <c r="BR480" s="204">
        <f>IF($AV$480="","",IF($BF$480&lt;&gt;"",$BF$480,0)+IF($BL$480&lt;&gt;"",$BL$480,0)+IF($BN$480&lt;&gt;"",$BN$480,0))</f>
        <v>112</v>
      </c>
      <c r="BS480" s="331">
        <f>IF(SUM(BA480:BB480)&gt;0,1,0)</f>
        <v>1</v>
      </c>
      <c r="BT480" s="208" t="str">
        <f>IF($AV480="","",CONCATENATE("20",G$17+AW480-1))</f>
        <v>2023</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M460.23.01.V2-ij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6" t="str">
        <f>IF($AV481="","",$E$28)</f>
        <v/>
      </c>
      <c r="BP481" s="214" t="str">
        <f>IF(COUNTIFS($B$22,"&lt;&gt;"&amp;"",$B$22,"&lt;&gt;practic?*",$B$22,"&lt;&gt;*op?ional*",$B$22,"&lt;&gt;*Disciplin? facultativ?*",$B$22,"&lt;&gt;*Examen de diplom?*"),$L$28,"")</f>
        <v>DCAV</v>
      </c>
      <c r="BQ481" s="206" t="str">
        <f t="shared" ref="BQ481:BQ488" si="25">IF($AV481="","",IF($BC481&lt;&gt;"",$BC481,0)+IF($BI481&lt;&gt;"",$BI481,0)+IF($BM481&lt;&gt;"",$BM481,0))</f>
        <v/>
      </c>
      <c r="BR481" s="202" t="str">
        <f>IF($AV$481="","",IF($BF$481&lt;&gt;"",$BF$481,0)+IF($BL$481&lt;&gt;"",$BL$481,0)+IF($BN$481&lt;&gt;"",$BN$481,0))</f>
        <v/>
      </c>
      <c r="BS481" s="331">
        <f t="shared" ref="BS481:BS488" si="26">IF(SUM(BA481:BB481)&gt;0,1,0)</f>
        <v>0</v>
      </c>
      <c r="BT481" s="208" t="str">
        <f t="shared" ref="BT481:BT518" si="27">IF($AV481="","",CONCATENATE("20",G$17+AW481-1))</f>
        <v/>
      </c>
      <c r="BU481" s="197"/>
      <c r="BV481" s="197"/>
      <c r="BW481" s="197"/>
      <c r="BX481" s="202">
        <f>SUM(G28:J28)</f>
        <v>42</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M460.23.01.S3-ij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DS</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M460.23.01.A4</v>
      </c>
      <c r="AU483" s="202">
        <v>4</v>
      </c>
      <c r="AV483" s="204" t="str">
        <f>IF(COUNTIFS($B$32,"&lt;&gt;"&amp;"",$B$32,"&lt;&gt;*op?ional*",$B$32,"&lt;&gt;*Disciplin? facultativ?*"),$B$32,"")</f>
        <v xml:space="preserve">Biomecanică avansată </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v>
      </c>
      <c r="BN483" s="206">
        <f>IF(COUNTIFS($B$32,"&lt;&gt;"&amp;"",$B$32,"&lt;&gt;practic?*",$B$32,"&lt;&gt;*Elaborare proiect de diplom?*",$B$32,"&lt;&gt;*op?ional*",$B$32,"&lt;&gt;*Disciplin? facultativ?*", $B$32,"&lt;&gt;*Examen de diplom?*"),$M$34,"")</f>
        <v>56</v>
      </c>
      <c r="BO483" s="326">
        <f>IF($AV483="","",$E$34)</f>
        <v>7</v>
      </c>
      <c r="BP483" s="214" t="str">
        <f>IF(COUNTIFS($B$28,"&lt;&gt;"&amp;"",$B$28,"&lt;&gt;practic?*",$B$28,"&lt;&gt;*op?ional*",$B$28,"&lt;&gt;*Disciplin? facultativ?*",$B$28,"&lt;&gt;*Examen de diplom?*"),$L$34,"")</f>
        <v>DA</v>
      </c>
      <c r="BQ483" s="206">
        <f t="shared" si="25"/>
        <v>8</v>
      </c>
      <c r="BR483" s="202">
        <f>IF($AV$483="","",IF($BF$483&lt;&gt;"",$BF$483,0)+IF($BL$483&lt;&gt;"",$BL$483,0)+IF($BN$483&lt;&gt;"",$BN$483,0))</f>
        <v>112</v>
      </c>
      <c r="BS483" s="331">
        <f t="shared" si="26"/>
        <v>1</v>
      </c>
      <c r="BT483" s="208" t="str">
        <f t="shared" si="27"/>
        <v>2023</v>
      </c>
      <c r="BU483" s="197"/>
      <c r="BV483" s="197"/>
      <c r="BW483" s="197"/>
      <c r="BX483" s="202">
        <f>SUM(G34:J34)</f>
        <v>56</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M460.23.01.S5</v>
      </c>
      <c r="AU484" s="202">
        <v>5</v>
      </c>
      <c r="AV484" s="204" t="str">
        <f>IF(COUNTIFS($B$35,"&lt;&gt;"&amp;"",$B$35,"&lt;&gt;*op?ional*",$B$35,"&lt;&gt;*Disciplin? facultativ?*"),$B$35,"")</f>
        <v>Practică 1 de specialitate</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M460.23.02.V1</v>
      </c>
      <c r="AU490" s="204">
        <v>1</v>
      </c>
      <c r="AV490" s="204" t="str">
        <f>IF(COUNTIFS($N$23,"&lt;&gt;"&amp;"",$N$23,"&lt;&gt;*op?ional*",$N$23,"&lt;&gt;*Disciplin? facultativ?*"),$N$23,"")</f>
        <v>Implantologie şi protezare inteligentă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v>
      </c>
      <c r="BN490" s="206">
        <f>IF(COUNTIFS($B$23,"&lt;&gt;"&amp;"",$B$23,"&lt;&gt;practic?*",$B$23,"&lt;&gt;*Elaborare proiect de diplom?*",$B$23,"&lt;&gt;*op?ional*",$B$23,"&lt;&gt;*Disciplin? facultativ?*", $B$23,"&lt;&gt;*Examen de diplom?*"),$Y$25,"")</f>
        <v>56</v>
      </c>
      <c r="BO490" s="204">
        <f>IF($AV490="","",$Q$25)</f>
        <v>6</v>
      </c>
      <c r="BP490" s="206" t="str">
        <f>IF(COUNTIFS($B$23,"&lt;&gt;"&amp;"",$B$23,"&lt;&gt;practic?*",$B$23,"&lt;&gt;*op?ional*",$B$23,"&lt;&gt;*Disciplin? facultativ?*",$B$23,"&lt;&gt;*Examen de diplom?*"),$X$25,"")</f>
        <v>DCAV</v>
      </c>
      <c r="BQ490" s="206">
        <f>IF($AV490="","",IF($BC490&lt;&gt;"",$BC490,0)+IF($BI490&lt;&gt;"",$BI490,0)+IF($BM490&lt;&gt;"",$BM490,0))</f>
        <v>7</v>
      </c>
      <c r="BR490" s="204">
        <f>IF($AV$480="","",IF($NF$480&lt;&gt;"",$NF$480,0)+IF($NL$480&lt;&gt;"",$NL$480,0)+IF($NN$480&lt;&gt;"",$NN$480,0))</f>
        <v>0</v>
      </c>
      <c r="BS490" s="331">
        <f>IF(SUM(BA490:BB490)&gt;0,1,0)</f>
        <v>1</v>
      </c>
      <c r="BT490" s="208" t="str">
        <f t="shared" si="27"/>
        <v>2023</v>
      </c>
      <c r="BU490" s="197"/>
      <c r="BV490" s="197"/>
      <c r="BW490" s="197"/>
      <c r="BX490" s="202">
        <f>SUM(S25:V25)</f>
        <v>42</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M460.23.02.A2-ij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6" t="str">
        <f>IF($AV491="","",$Q$28)</f>
        <v/>
      </c>
      <c r="BP491" s="214" t="str">
        <f>IF(COUNTIFS($B$22,"&lt;&gt;"&amp;"",$B$22,"&lt;&gt;practic?*",$B$22,"&lt;&gt;*op?ional*",$B$22,"&lt;&gt;*Disciplin? facultativ?*",$B$22,"&lt;&gt;*Examen de diplom?*"),$X$28,"")</f>
        <v>DA</v>
      </c>
      <c r="BQ491" s="206" t="str">
        <f t="shared" ref="BQ491:BQ498" si="33">IF($AV491="","",IF($BC491&lt;&gt;"",$BC491,0)+IF($BI491&lt;&gt;"",$BI491,0)+IF($BM491&lt;&gt;"",$BM491,0))</f>
        <v/>
      </c>
      <c r="BR491" s="202" t="str">
        <f>IF($AV$481="","",IF($NF$481&lt;&gt;"",$NF$481,0)+IF($NL$481&lt;&gt;"",$NL$481,0)+IF($NN$481&lt;&gt;"",$NN$481,0))</f>
        <v/>
      </c>
      <c r="BS491" s="331">
        <f t="shared" ref="BS491:BS509" si="34">IF(SUM(BA491:BB491)&gt;0,1,0)</f>
        <v>0</v>
      </c>
      <c r="BT491" s="208" t="str">
        <f t="shared" si="27"/>
        <v/>
      </c>
      <c r="BU491" s="197"/>
      <c r="BV491" s="197"/>
      <c r="BW491" s="197"/>
      <c r="BX491" s="202">
        <f>SUM(S28:V28)</f>
        <v>42</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M460.23.02.V3</v>
      </c>
      <c r="AU492" s="202">
        <v>3</v>
      </c>
      <c r="AV492" s="204" t="str">
        <f>IF(COUNTIFS($N$29,"&lt;&gt;"&amp;"",$N$29,"&lt;&gt;*op?ional*",$N$29,"&lt;&gt;*Disciplin? facultativ?*"),$N$29,"")</f>
        <v>Tehnici experimentale de investigare biomecanică</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3</v>
      </c>
      <c r="BC492" s="204">
        <f>IF(COUNTIFS($N$29,"&lt;&gt;"&amp;"",$N$29,"&lt;&gt;practic?*",$N$29,"&lt;&gt;*Elaborare proiect de diplom?*",$N$29,"&lt;&gt;*op?ional*",$N$29,"&lt;&gt;*Disciplin? facultativ?*", $N$29,"&lt;&gt;*Examen de diplom?*"),ROUND(($S$31+$T$31+$U$31+$V$31)/14,1),"")</f>
        <v>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42</v>
      </c>
      <c r="BF492" s="204">
        <f>IF(COUNTIFS($N$29,"&lt;&gt;"&amp;"",$N$29,"&lt;&gt;practic?*",$N$29,"&lt;&gt;*Elaborare proiect de diplom?*",$N$29,"&lt;&gt;*op?ional*",$N$29,"&lt;&gt;*Disciplin? facultativ?*", $N$29,"&lt;&gt;*Examen de diplom?*"),($S$31+$T$31+$U$31+$V$31),"")</f>
        <v>70</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f>IF($AV492="","",$Q$31)</f>
        <v>6</v>
      </c>
      <c r="BP492" s="214" t="str">
        <f>IF(COUNTIFS($B$25,"&lt;&gt;"&amp;"",$B$25,"&lt;&gt;practic?*",$B$25,"&lt;&gt;*op?ional*",$B$25,"&lt;&gt;*Disciplin? facultativ?*",$B$25,"&lt;&gt;*Examen de diplom?*"),$X$31,"")</f>
        <v>DCAV</v>
      </c>
      <c r="BQ492" s="206" t="e">
        <f t="shared" si="33"/>
        <v>#VALUE!</v>
      </c>
      <c r="BR492" s="202" t="str">
        <f>IF($AV$482="","",IF($NF$482&lt;&gt;"",$NF$482,0)+IF($NL$482&lt;&gt;"",$NL$482,0)+IF($NN$482&lt;&gt;"",$NN$482,0))</f>
        <v/>
      </c>
      <c r="BS492" s="331">
        <f t="shared" si="34"/>
        <v>1</v>
      </c>
      <c r="BT492" s="208" t="str">
        <f t="shared" si="27"/>
        <v>2023</v>
      </c>
      <c r="BU492" s="197"/>
      <c r="BV492" s="197"/>
      <c r="BW492" s="197"/>
      <c r="BX492" s="202">
        <f>SUM(S31:V31)</f>
        <v>70</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M460.23.02.C4</v>
      </c>
      <c r="AU493" s="204">
        <v>4</v>
      </c>
      <c r="AV493" s="204" t="str">
        <f>IF(COUNTIFS($N$32,"&lt;&gt;"&amp;"",$N$32,"&lt;&gt;*op?ional*",$N$32,"&lt;&gt;*Disciplin? facultativ?*"),$N$32,"")</f>
        <v xml:space="preserve">Kinetoterapie și kinetoprofilaxie în sport   </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2</v>
      </c>
      <c r="BN493" s="206">
        <f>IF(COUNTIFS($B$32,"&lt;&gt;"&amp;"",$B$32,"&lt;&gt;practic?*",$B$32,"&lt;&gt;*Elaborare proiect de diplom?*",$B$32,"&lt;&gt;*op?ional*",$B$32,"&lt;&gt;*Disciplin? facultativ?*", $B$32,"&lt;&gt;*Examen de diplom?*"),$Y$34,"")</f>
        <v>28</v>
      </c>
      <c r="BO493" s="326">
        <f>IF($AV493="","",$Q$34)</f>
        <v>4</v>
      </c>
      <c r="BP493" s="214" t="str">
        <f>IF(COUNTIFS($B$28,"&lt;&gt;"&amp;"",$B$28,"&lt;&gt;practic?*",$B$28,"&lt;&gt;*op?ional*",$B$28,"&lt;&gt;*Disciplin? facultativ?*",$B$28,"&lt;&gt;*Examen de diplom?*"),$X$34,"")</f>
        <v>DVAC</v>
      </c>
      <c r="BQ493" s="206">
        <f t="shared" si="33"/>
        <v>4</v>
      </c>
      <c r="BR493" s="202">
        <f>IF($AV$483="","",IF($NF$483&lt;&gt;"",$NF$483,0)+IF($NL$483&lt;&gt;"",$NL$483,0)+IF($NN$483&lt;&gt;"",$NN$483,0))</f>
        <v>0</v>
      </c>
      <c r="BS493" s="331">
        <f t="shared" si="34"/>
        <v>1</v>
      </c>
      <c r="BT493" s="208" t="str">
        <f t="shared" si="27"/>
        <v>2023</v>
      </c>
      <c r="BU493" s="197"/>
      <c r="BV493" s="197"/>
      <c r="BW493" s="197"/>
      <c r="BX493" s="202">
        <f>SUM(S34:V34)</f>
        <v>28</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M460.23.02.C5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M460.23.02.S6</v>
      </c>
      <c r="AU495" s="202">
        <v>6</v>
      </c>
      <c r="AV495" s="204" t="str">
        <f>IF(COUNTIFS($N$38,"&lt;&gt;"&amp;"",$N$38,"&lt;&gt;*op?ional*",$N$38,"&lt;&gt;*Disciplin? facultativ?*"),$N$38,"")</f>
        <v>Practică 2 de specialiatate</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M460.23.03.A1-ij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112</v>
      </c>
      <c r="BS500" s="331">
        <f>IF(SUM(BA500:BB500)&gt;0,1,0)</f>
        <v>0</v>
      </c>
      <c r="BT500" s="208" t="str">
        <f t="shared" si="27"/>
        <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M460.23.03.S2-ij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6" t="str">
        <f>IF($AV501="","",$E$70)</f>
        <v/>
      </c>
      <c r="BP501" s="214" t="str">
        <f>IF(COUNTIFS($B$22,"&lt;&gt;"&amp;"",$B$22,"&lt;&gt;practic?*",$B$22,"&lt;&gt;*op?ional*",$B$22,"&lt;&gt;*Disciplin? facultativ?*",$B$22,"&lt;&gt;*Examen de diplom?*"),$L$70,"")</f>
        <v>DS</v>
      </c>
      <c r="BQ501" s="206" t="str">
        <f t="shared" ref="BQ501:BQ508" si="40">IF($AV501="","",IF($BC501&lt;&gt;"",$BC501,0)+IF($BI501&lt;&gt;"",$BI501,0)+IF($BM501&lt;&gt;"",$BM501,0))</f>
        <v/>
      </c>
      <c r="BR501" s="202" t="str">
        <f>IF($AV$481="","",IF($BF$481&lt;&gt;"",$BF$481,0)+IF($BL$481&lt;&gt;"",$BL$481,0)+IF($BN$481&lt;&gt;"",$BN$481,0))</f>
        <v/>
      </c>
      <c r="BS501" s="331">
        <f t="shared" ref="BS501:BS508" si="41">IF(SUM(BA501:BB501)&gt;0,1,0)</f>
        <v>0</v>
      </c>
      <c r="BT501" s="208" t="str">
        <f t="shared" si="27"/>
        <v/>
      </c>
      <c r="BU501" s="197"/>
      <c r="BV501" s="197"/>
      <c r="BW501" s="197"/>
      <c r="BX501" s="202">
        <f>SUM(G70:J70)</f>
        <v>28</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M460.23.03.S3</v>
      </c>
      <c r="AU502" s="202">
        <v>3</v>
      </c>
      <c r="AV502" s="204" t="str">
        <f>IF(COUNTIFS($B$71,"&lt;&gt;"&amp;"",$B$71,"&lt;&gt;*op?ional*",$B$71,"&lt;&gt;*Disciplin? facultativ?*"),$B$71,"")</f>
        <v xml:space="preserve">Robotică medicală </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v>
      </c>
      <c r="BN502" s="206">
        <f>IF(COUNTIFS($B$71,"&lt;&gt;"&amp;"",$B$71,"&lt;&gt;practic?*",$B$71,"&lt;&gt;*Elaborare proiect de diplom?*",$B$71,"&lt;&gt;*op?ional*",$B$71,"&lt;&gt;*Disciplin? facultativ?*", $B$71,"&lt;&gt;*Examen de diplom?*"),$M$73,"")</f>
        <v>56</v>
      </c>
      <c r="BO502" s="326">
        <f>IF($AV502="","",$E$73)</f>
        <v>6</v>
      </c>
      <c r="BP502" s="214" t="str">
        <f>IF(COUNTIFS($B$25,"&lt;&gt;"&amp;"",$B$25,"&lt;&gt;practic?*",$B$25,"&lt;&gt;*op?ional*",$B$25,"&lt;&gt;*Disciplin? facultativ?*",$B$25,"&lt;&gt;*Examen de diplom?*"),$L$73,"")</f>
        <v>DS</v>
      </c>
      <c r="BQ502" s="206">
        <f t="shared" si="40"/>
        <v>8</v>
      </c>
      <c r="BR502" s="202" t="str">
        <f>IF($AV$482="","",IF($BF$482&lt;&gt;"",$BF$482,0)+IF($BL$482&lt;&gt;"",$BL$482,0)+IF($BN$482&lt;&gt;"",$BN$482,0))</f>
        <v/>
      </c>
      <c r="BS502" s="331">
        <f t="shared" si="41"/>
        <v>1</v>
      </c>
      <c r="BT502" s="208" t="str">
        <f t="shared" si="27"/>
        <v>2024</v>
      </c>
      <c r="BU502" s="197"/>
      <c r="BV502" s="197"/>
      <c r="BW502" s="197"/>
      <c r="BX502" s="202">
        <f>SUM(G73:J73)</f>
        <v>56</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M460.23.03.V4</v>
      </c>
      <c r="AU503" s="202">
        <v>4</v>
      </c>
      <c r="AV503" s="204" t="str">
        <f>IF(COUNTIFS($B$74,"&lt;&gt;"&amp;"",$B$74,"&lt;&gt;*op?ional*",$B$74,"&lt;&gt;*Disciplin? facultativ?*"),$B$74,"")</f>
        <v xml:space="preserve">Dispozitive pentru ortognatodonție </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4</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56</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v>
      </c>
      <c r="BN503" s="206">
        <f>IF(COUNTIFS($B$74,"&lt;&gt;"&amp;"",$B$74,"&lt;&gt;practic?*",$B$74,"&lt;&gt;*Elaborare proiect de diplom?*",$B$74,"&lt;&gt;*op?ional*",$B$74,"&lt;&gt;*Disciplin? facultativ?*", $B$74,"&lt;&gt;*Examen de diplom?*"),$M$76,"")</f>
        <v>56</v>
      </c>
      <c r="BO503" s="326">
        <f>IF($AV503="","",$E$76)</f>
        <v>6</v>
      </c>
      <c r="BP503" s="214" t="str">
        <f>IF(COUNTIFS($B$28,"&lt;&gt;"&amp;"",$B$28,"&lt;&gt;practic?*",$B$28,"&lt;&gt;*op?ional*",$B$28,"&lt;&gt;*Disciplin? facultativ?*",$B$28,"&lt;&gt;*Examen de diplom?*"),$L$76,"")</f>
        <v>DCAV</v>
      </c>
      <c r="BQ503" s="206">
        <f t="shared" si="40"/>
        <v>8</v>
      </c>
      <c r="BR503" s="202">
        <f>IF($AV$483="","",IF($BF$483&lt;&gt;"",$BF$483,0)+IF($BL$483&lt;&gt;"",$BL$483,0)+IF($BN$483&lt;&gt;"",$BN$483,0))</f>
        <v>112</v>
      </c>
      <c r="BS503" s="331">
        <f t="shared" si="41"/>
        <v>1</v>
      </c>
      <c r="BT503" s="208" t="str">
        <f t="shared" si="27"/>
        <v>2024</v>
      </c>
      <c r="BU503" s="197"/>
      <c r="BV503" s="197"/>
      <c r="BW503" s="197"/>
      <c r="BX503" s="202">
        <f>SUM(G76:J76)</f>
        <v>56</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M460.23.03.S5</v>
      </c>
      <c r="AU504" s="202">
        <v>5</v>
      </c>
      <c r="AV504" s="204" t="str">
        <f>IF(COUNTIFS($B$77,"&lt;&gt;"&amp;"",$B$77,"&lt;&gt;*op?ional*",$B$77,"&lt;&gt;*Disciplin? facultativ?*"),$B$77,"")</f>
        <v>Practica 1 de specialitate</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M460.23.04.V1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1">
        <f>IF(SUM(BA510:BB510)&gt;0,1,0)</f>
        <v>0</v>
      </c>
      <c r="BT510" s="208" t="str">
        <f t="shared" si="27"/>
        <v>2024</v>
      </c>
      <c r="BU510" s="197"/>
      <c r="BV510" s="197"/>
      <c r="BW510" s="197"/>
      <c r="BX510" s="202">
        <f>SUM(S67:V67)</f>
        <v>0</v>
      </c>
      <c r="BY510" s="514">
        <f>COUNTIF(BX510:BX517,"&gt;0")</f>
        <v>1</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M460.23.04.V2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0.1</v>
      </c>
      <c r="BB511" s="204">
        <f>IF(COUNTIFS($N$68,"&lt;&gt;"&amp;"",$N$68,"&lt;&gt;practic?*",$N$68,"&lt;&gt;*Elaborare proiect de diplom?*",$N$68,"&lt;&gt;*op?ional*",$N$68,"&lt;&gt;*Disciplin? facultativ?*", $N$68,"&lt;&gt;*Examen de diplom?*"),ROUND(($T$70+$U$70+$V$70)/14,1),"")</f>
        <v>0.3</v>
      </c>
      <c r="BC511" s="204">
        <f>IF(COUNTIFS($N$68,"&lt;&gt;"&amp;"",$N$68,"&lt;&gt;practic?*",$N$68,"&lt;&gt;*Elaborare proiect de diplom?*",$N$68,"&lt;&gt;*op?ional*",$N$68,"&lt;&gt;*Disciplin? facultativ?*", $N$68,"&lt;&gt;*Examen de diplom?*"),ROUND(($S$70+$T$70+$U$70+$V$70)/14,1),"")</f>
        <v>0.4</v>
      </c>
      <c r="BD511" s="206">
        <f>IF(COUNTIFS($N$68,"&lt;&gt;"&amp;"",$N$68,"&lt;&gt;practic?*",$N$68,"&lt;&gt;*Elaborare proiect de diplom?*",$N$68,"&lt;&gt;*op?ional*",$N$68,"&lt;&gt;*Disciplin? facultativ?*", $N$68,"&lt;&gt;*Examen de diplom?*"),$S$70,"")</f>
        <v>2</v>
      </c>
      <c r="BE511" s="204">
        <f>IF(COUNTIFS($N$68,"&lt;&gt;"&amp;"",$N$68,"&lt;&gt;practic?*",$N$68,"&lt;&gt;*Elaborare proiect de diplom?*",$N$68,"&lt;&gt;*op?ional*",$N$68,"&lt;&gt;*Disciplin? facultativ?*", $N$68,"&lt;&gt;*Examen de diplom?*"),($T$70+$U$70+$V$70),"")</f>
        <v>4</v>
      </c>
      <c r="BF511" s="204">
        <f>IF(COUNTIFS($N$68,"&lt;&gt;"&amp;"",$N$68,"&lt;&gt;practic?*",$N$68,"&lt;&gt;*Elaborare proiect de diplom?*",$N$68,"&lt;&gt;*op?ional*",$N$68,"&lt;&gt;*Disciplin? facultativ?*", $N$68,"&lt;&gt;*Examen de diplom?*"),($S$70+$T$70+$U$70+$V$70),"")</f>
        <v>6</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6">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t="str">
        <f>IF($AV$481="","",IF($NF$481&lt;&gt;"",$NF$481,0)+IF($NL$481&lt;&gt;"",$NL$481,0)+IF($NN$481&lt;&gt;"",$NN$481,0))</f>
        <v/>
      </c>
      <c r="BS511" s="331">
        <f t="shared" ref="BS511:BS518" si="48">IF(SUM(BA511:BB511)&gt;0,1,0)</f>
        <v>1</v>
      </c>
      <c r="BT511" s="208" t="str">
        <f t="shared" si="27"/>
        <v>2024</v>
      </c>
      <c r="BU511" s="197"/>
      <c r="BV511" s="197"/>
      <c r="BW511" s="197"/>
      <c r="BX511" s="202">
        <f>SUM(S70:V70)</f>
        <v>6</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M460.23.04.S3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2024</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M460.23.01.V2-01</v>
      </c>
      <c r="AU523" s="204">
        <v>1</v>
      </c>
      <c r="AV523" s="204" t="str">
        <f>IF(COUNTIFS($B$113,"&lt;&gt;"&amp;""),$B$113,"")</f>
        <v>Opțional 1 independent                                                                                                        Hemodinamică</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M460.23.01.V2-02</v>
      </c>
      <c r="AU524" s="202">
        <v>2</v>
      </c>
      <c r="AV524" s="204" t="str">
        <f>IF(COUNTIFS($B$116,"&lt;&gt;"&amp;""),$B$116,"")</f>
        <v>Opțional 1 independent                                                                                                        Tehnici avansate pentru prelevarea on-line a biosemnalelor</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M460.23.01.S3-03</v>
      </c>
      <c r="AU525" s="202">
        <v>3</v>
      </c>
      <c r="AV525" s="204" t="str">
        <f>IF(COUNTIFS($B$119,"&lt;&gt;"&amp;""),$B$119,"")</f>
        <v>Opțional 2 independent                                                                                                        Python în eSanatate</v>
      </c>
      <c r="AW525" s="204">
        <f t="shared" si="50"/>
        <v>1</v>
      </c>
      <c r="AX525" s="204" t="str">
        <f t="shared" si="51"/>
        <v>1</v>
      </c>
      <c r="AY525" s="204" t="str">
        <f>IF($AV525="","",$F$121)</f>
        <v>E</v>
      </c>
      <c r="AZ525" s="204" t="str">
        <f t="shared" si="52"/>
        <v>DO</v>
      </c>
      <c r="BA525" s="204">
        <f>IF(COUNTIFS($B$119,"&lt;&gt;"&amp;""),ROUND($G$121/14,1),"")</f>
        <v>1</v>
      </c>
      <c r="BB525" s="204">
        <f>IF(COUNTIFS($B$119,"&lt;&gt;"&amp;""),ROUND(($H$121+$I$121+$J$121)/14,1),"")</f>
        <v>2</v>
      </c>
      <c r="BC525" s="204">
        <f>IF(COUNTIFS($B$119,"&lt;&gt;"&amp;""),ROUND(($G$121+$H$121+$I$121+$J$121)/14,1),"")</f>
        <v>3</v>
      </c>
      <c r="BD525" s="204">
        <f>IF(COUNTIFS($B$119,"&lt;&gt;"&amp;""),ROUND($G$121,1),"")</f>
        <v>14</v>
      </c>
      <c r="BE525" s="204">
        <f>IF(COUNTIFS($B$119,"&lt;&gt;"&amp;""),ROUND(($H$121+$I$121+$J$121),1),"")</f>
        <v>28</v>
      </c>
      <c r="BF525" s="204">
        <f>IF(COUNTIFS($B$119,"&lt;&gt;"&amp;""),ROUND(($G$121+$H$121+$I$121+$J$121),1),"")</f>
        <v>42</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M460.23.01.S3-04</v>
      </c>
      <c r="AU526" s="202">
        <v>4</v>
      </c>
      <c r="AV526" s="204" t="str">
        <f>IF(COUNTIFS($B$122,"&lt;&gt;"&amp;""),$B$122,"")</f>
        <v>Opțional 2 independent                                                                                                       Python pentru construirea aplicatiilor medicale</v>
      </c>
      <c r="AW526" s="204">
        <f t="shared" si="50"/>
        <v>1</v>
      </c>
      <c r="AX526" s="204" t="str">
        <f t="shared" si="51"/>
        <v>1</v>
      </c>
      <c r="AY526" s="204" t="str">
        <f>IF($AV526="","",$F$124)</f>
        <v>E</v>
      </c>
      <c r="AZ526" s="204" t="str">
        <f t="shared" si="52"/>
        <v>DO</v>
      </c>
      <c r="BA526" s="204">
        <f>IF(COUNTIFS($B$122,"&lt;&gt;"&amp;""),ROUND($G$124/14,1),"")</f>
        <v>1</v>
      </c>
      <c r="BB526" s="204">
        <f>IF(COUNTIFS($B$122,"&lt;&gt;"&amp;""),ROUND(($H$124+$I$124+$J$124)/14,1),"")</f>
        <v>2</v>
      </c>
      <c r="BC526" s="204">
        <f>IF(COUNTIFS($B$122,"&lt;&gt;"&amp;""),ROUND(($G$124+$H$124+$I$124+$J$124)/14,1),"")</f>
        <v>3</v>
      </c>
      <c r="BD526" s="204">
        <f>IF(COUNTIFS($B$122,"&lt;&gt;"&amp;""),ROUND($G$124,1),"")</f>
        <v>14</v>
      </c>
      <c r="BE526" s="204">
        <f>IF(COUNTIFS($B$122,"&lt;&gt;"&amp;""),ROUND(($H$124+$I$124+$J$124),1),"")</f>
        <v>28</v>
      </c>
      <c r="BF526" s="204">
        <f>IF(COUNTIFS($B$122,"&lt;&gt;"&amp;""),ROUND(($G$124+$H$124+$I$124+$J$124),1),"")</f>
        <v>42</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2023</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M460.23.02.A2-01</v>
      </c>
      <c r="AU534" s="204">
        <v>1</v>
      </c>
      <c r="AV534" s="204" t="str">
        <f>IF(COUNTIFS($N$113,"&lt;&gt;"&amp;""),$N$113,"")</f>
        <v xml:space="preserve">Opțional 3 independent                                                                                                        Rezistența și oboseala structurilor biomecanice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M460.23.02.A2-02</v>
      </c>
      <c r="AU535" s="202">
        <v>2</v>
      </c>
      <c r="AV535" s="204" t="str">
        <f>IF(COUNTIFS($N$116,"&lt;&gt;"&amp;""),$N$116,"")</f>
        <v xml:space="preserve">Opțional 3 independent                                                                                                        Analiza neliniară a sistemelor biomecanice       </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M460.23.03.A1-01</v>
      </c>
      <c r="AU545" s="204">
        <v>1</v>
      </c>
      <c r="AV545" s="204" t="str">
        <f>IF(COUNTIFS($B$151,"&lt;&gt;"&amp;""),$B$151,"")</f>
        <v xml:space="preserve">Opțional 4 independent                                                                                                          Aparatură pentru tehnici terapeutice şi chirurgicale avansate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M460.23.03.A1-02</v>
      </c>
      <c r="AU546" s="204">
        <v>2</v>
      </c>
      <c r="AV546" s="204" t="str">
        <f>IF(COUNTIFS($B$154,"&lt;&gt;"&amp;""),$B$154,"")</f>
        <v xml:space="preserve">Opțional 4 independent                                                                                                          Design si dezvoltare de organe artificiale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M460.23.03.S2-03</v>
      </c>
      <c r="AU547" s="204">
        <v>3</v>
      </c>
      <c r="AV547" s="204" t="str">
        <f>IF(COUNTIFS($B$157,"&lt;&gt;"&amp;""),$B$157,"")</f>
        <v xml:space="preserve">Opțional 5 independent                                                                                                          Statistică aplicată în cercetarea medicală         </v>
      </c>
      <c r="AW547" s="204">
        <f t="shared" si="60"/>
        <v>2</v>
      </c>
      <c r="AX547" s="204" t="str">
        <f t="shared" si="61"/>
        <v>3</v>
      </c>
      <c r="AY547" s="204" t="str">
        <f>IF($AV547="","",$F$159)</f>
        <v>E</v>
      </c>
      <c r="AZ547" s="204" t="str">
        <f t="shared" si="62"/>
        <v>DO</v>
      </c>
      <c r="BA547" s="204">
        <f>IF(COUNTIFS($B$157,"&lt;&gt;"&amp;""),ROUND($G$159/14,1),"")</f>
        <v>1</v>
      </c>
      <c r="BB547" s="204">
        <f>IF(COUNTIFS($B$157,"&lt;&gt;"&amp;""),ROUND(($H$159+$I$159+$J$159)/14,1),"")</f>
        <v>1</v>
      </c>
      <c r="BC547" s="204">
        <f>IF(COUNTIFS($B$157,"&lt;&gt;"&amp;""),ROUND(($G$159+$H$159+$I$159+$J$159)/14,1),"")</f>
        <v>2</v>
      </c>
      <c r="BD547" s="204">
        <f>IF(COUNTIFS($B$157,"&lt;&gt;"&amp;""),ROUND($G$159,1),"")</f>
        <v>14</v>
      </c>
      <c r="BE547" s="204">
        <f>IF(COUNTIFS($B$157,"&lt;&gt;"&amp;""),ROUND(($H$159+$I$159+$J$159),1),"")</f>
        <v>14</v>
      </c>
      <c r="BF547" s="204">
        <f>IF(COUNTIFS($B$157,"&lt;&gt;"&amp;""),ROUND(($G$159+$H$159+$I$159+$J$159),1),"")</f>
        <v>28</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2024</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M460.23.03.S2-04</v>
      </c>
      <c r="AU548" s="204">
        <v>4</v>
      </c>
      <c r="AV548" s="204" t="str">
        <f>IF(COUNTIFS($B$160,"&lt;&gt;"&amp;""),$B$160,"")</f>
        <v xml:space="preserve">Opțional 5 independent                                                                                                          Algoritmi şi tehnici de modelare şi simulare   </v>
      </c>
      <c r="AW548" s="204">
        <f t="shared" si="60"/>
        <v>2</v>
      </c>
      <c r="AX548" s="204" t="str">
        <f t="shared" si="61"/>
        <v>3</v>
      </c>
      <c r="AY548" s="204" t="str">
        <f>IF($AV548="","",$F$162)</f>
        <v>E</v>
      </c>
      <c r="AZ548" s="204" t="str">
        <f t="shared" si="62"/>
        <v>DO</v>
      </c>
      <c r="BA548" s="204">
        <f>IF(COUNTIFS($B$160,"&lt;&gt;"&amp;""),ROUND($G$162/14,1),"")</f>
        <v>1</v>
      </c>
      <c r="BB548" s="204">
        <f>IF(COUNTIFS($B$160,"&lt;&gt;"&amp;""),ROUND(($H$162+$I$162+$J$162)/14,1),"")</f>
        <v>1</v>
      </c>
      <c r="BC548" s="204">
        <f>IF(COUNTIFS($B$160,"&lt;&gt;"&amp;""),ROUND(($G$162+$H$162+$I$162+$J$162)/14,1),"")</f>
        <v>2</v>
      </c>
      <c r="BD548" s="204">
        <f>IF(COUNTIFS($B$160,"&lt;&gt;"&amp;""),ROUND($G$162,1),"")</f>
        <v>14</v>
      </c>
      <c r="BE548" s="204">
        <f>IF(COUNTIFS($B$160,"&lt;&gt;"&amp;""),ROUND(($H$162+$I$162+$J$162),1),"")</f>
        <v>14</v>
      </c>
      <c r="BF548" s="204">
        <f>IF(COUNTIFS($B$160,"&lt;&gt;"&amp;""),ROUND(($G$162+$H$162+$I$162+$J$162),1),"")</f>
        <v>28</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2024</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16383" man="1"/>
    <brk id="107" max="16383" man="1"/>
    <brk id="145" max="16383" man="1"/>
    <brk id="20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7"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MECANICA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Stiințe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Științe inginerești aplicate</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IMPLANTURI, PROTEZE SI EVALUARE BIOMECANICĂ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3</v>
      </c>
      <c r="H35" s="278">
        <f>G35/G33</f>
        <v>0.15789473684210525</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14</v>
      </c>
      <c r="C44" s="285">
        <f>MASTER!Q53/14</f>
        <v>14.5</v>
      </c>
      <c r="D44" s="285">
        <f>MASTER!E95/14</f>
        <v>14</v>
      </c>
      <c r="E44" s="286">
        <f>MASTER!Q95/14</f>
        <v>0.42857142857142855</v>
      </c>
      <c r="F44" s="287"/>
      <c r="G44" s="288" t="s">
        <v>203</v>
      </c>
      <c r="H44" s="288"/>
      <c r="I44" s="288"/>
      <c r="J44" s="288"/>
      <c r="K44" s="288"/>
      <c r="L44" s="288"/>
    </row>
    <row r="45" spans="1:22" s="248" customFormat="1" ht="24" customHeight="1" x14ac:dyDescent="0.35">
      <c r="A45" s="355" t="s">
        <v>204</v>
      </c>
      <c r="B45" s="285">
        <f>MASTER!E54/14</f>
        <v>26.142857142857142</v>
      </c>
      <c r="C45" s="285">
        <f>MASTER!Q54/14</f>
        <v>26.642857142857142</v>
      </c>
      <c r="D45" s="285">
        <f>MASTER!E96/14</f>
        <v>26.142857142857142</v>
      </c>
      <c r="E45" s="286">
        <f>MASTER!Q96/14</f>
        <v>26.428571428571427</v>
      </c>
      <c r="F45" s="287">
        <f>SUM(B45:E45)*14</f>
        <v>1475</v>
      </c>
      <c r="G45" s="288" t="s">
        <v>251</v>
      </c>
      <c r="H45" s="288"/>
      <c r="I45" s="288"/>
      <c r="J45" s="288"/>
      <c r="K45" s="288"/>
      <c r="L45" s="288"/>
    </row>
    <row r="46" spans="1:22" s="248" customFormat="1" ht="23.25" x14ac:dyDescent="0.35">
      <c r="A46" s="354" t="s">
        <v>205</v>
      </c>
      <c r="B46" s="285">
        <f>MASTER!M54/14</f>
        <v>40.142857142857146</v>
      </c>
      <c r="C46" s="285">
        <f>MASTER!Y54/14</f>
        <v>40.071428571428569</v>
      </c>
      <c r="D46" s="285">
        <f>MASTER!M96/14</f>
        <v>40.142857142857146</v>
      </c>
      <c r="E46" s="286">
        <f>MASTER!Y96/14</f>
        <v>71.857142857142861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1.0731707317073171</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M460.23.01.V1</v>
      </c>
      <c r="B3" s="57">
        <f>MASTER!AU480</f>
        <v>1</v>
      </c>
      <c r="C3" s="57" t="str">
        <f>MASTER!AV480</f>
        <v>Tehnici de achiziţie  şi monitorizare în asistenţa medicală</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DCAV</v>
      </c>
      <c r="X3" s="57">
        <f>MASTER!BQ480</f>
        <v>8</v>
      </c>
      <c r="Y3" s="57">
        <f>MASTER!BR480</f>
        <v>112</v>
      </c>
      <c r="Z3" s="57">
        <f>MASTER!BS480</f>
        <v>1</v>
      </c>
      <c r="AA3" t="str">
        <f>MASTER!H$6</f>
        <v>Științe inginerești aplicate</v>
      </c>
      <c r="AB3">
        <f>MASTER!C$17</f>
        <v>30</v>
      </c>
      <c r="AC3" t="str">
        <f>MASTER!H$7</f>
        <v>IMPLANTURI, PROTEZE SI EVALUARE BIOMECANICĂ</v>
      </c>
      <c r="AD3">
        <f>MASTER!A$17</f>
        <v>20</v>
      </c>
      <c r="AE3">
        <f>MASTER!B$17</f>
        <v>70</v>
      </c>
      <c r="AF3">
        <f>MASTER!D$17</f>
        <v>0</v>
      </c>
      <c r="AG3" t="str">
        <f>MASTER!BT480</f>
        <v>2023</v>
      </c>
    </row>
    <row r="4" spans="1:33" x14ac:dyDescent="0.2">
      <c r="A4" s="57" t="str">
        <f>MASTER!AT481</f>
        <v>M460.23.01.V2-ij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DCAV</v>
      </c>
      <c r="X4" s="57" t="str">
        <f>MASTER!BQ481</f>
        <v/>
      </c>
      <c r="Y4" s="57" t="str">
        <f>MASTER!BR481</f>
        <v/>
      </c>
      <c r="Z4" s="57">
        <f>MASTER!BS481</f>
        <v>0</v>
      </c>
      <c r="AA4" t="str">
        <f>MASTER!H$6</f>
        <v>Științe inginerești aplicate</v>
      </c>
      <c r="AB4">
        <f>MASTER!C$17</f>
        <v>30</v>
      </c>
      <c r="AC4" t="str">
        <f>MASTER!H$7</f>
        <v>IMPLANTURI, PROTEZE SI EVALUARE BIOMECANICĂ</v>
      </c>
      <c r="AD4">
        <f>MASTER!A$17</f>
        <v>20</v>
      </c>
      <c r="AE4">
        <f>MASTER!B$17</f>
        <v>70</v>
      </c>
      <c r="AF4">
        <f>MASTER!D$17</f>
        <v>0</v>
      </c>
      <c r="AG4" t="str">
        <f>MASTER!BT481</f>
        <v/>
      </c>
    </row>
    <row r="5" spans="1:33" x14ac:dyDescent="0.2">
      <c r="A5" s="57" t="str">
        <f>MASTER!AT482</f>
        <v>M460.23.01.S3-ij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DS</v>
      </c>
      <c r="X5" s="57" t="str">
        <f>MASTER!BQ482</f>
        <v/>
      </c>
      <c r="Y5" s="57" t="str">
        <f>MASTER!BR482</f>
        <v/>
      </c>
      <c r="Z5" s="57">
        <f>MASTER!BS482</f>
        <v>0</v>
      </c>
      <c r="AA5" t="str">
        <f>MASTER!H$6</f>
        <v>Științe inginerești aplicate</v>
      </c>
      <c r="AB5">
        <f>MASTER!C$17</f>
        <v>30</v>
      </c>
      <c r="AC5" t="str">
        <f>MASTER!H$7</f>
        <v>IMPLANTURI, PROTEZE SI EVALUARE BIOMECANICĂ</v>
      </c>
      <c r="AD5">
        <f>MASTER!A$17</f>
        <v>20</v>
      </c>
      <c r="AE5">
        <f>MASTER!B$17</f>
        <v>70</v>
      </c>
      <c r="AF5">
        <f>MASTER!D$17</f>
        <v>0</v>
      </c>
      <c r="AG5" t="str">
        <f>MASTER!BT482</f>
        <v/>
      </c>
    </row>
    <row r="6" spans="1:33" x14ac:dyDescent="0.2">
      <c r="A6" s="57" t="str">
        <f>MASTER!AT483</f>
        <v>M460.23.01.A4</v>
      </c>
      <c r="B6" s="57">
        <f>MASTER!AU483</f>
        <v>4</v>
      </c>
      <c r="C6" s="57" t="str">
        <f>MASTER!AV483</f>
        <v xml:space="preserve">Biomecanică avansată </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4</v>
      </c>
      <c r="U6" s="57">
        <f>MASTER!BN483</f>
        <v>56</v>
      </c>
      <c r="V6" s="57">
        <f>MASTER!BO483</f>
        <v>7</v>
      </c>
      <c r="W6" s="57" t="str">
        <f>MASTER!BP483</f>
        <v>DA</v>
      </c>
      <c r="X6" s="57">
        <f>MASTER!BQ483</f>
        <v>8</v>
      </c>
      <c r="Y6" s="57">
        <f>MASTER!BR483</f>
        <v>112</v>
      </c>
      <c r="Z6" s="57">
        <f>MASTER!BS483</f>
        <v>1</v>
      </c>
      <c r="AA6" t="str">
        <f>MASTER!H$6</f>
        <v>Științe inginerești aplicate</v>
      </c>
      <c r="AB6">
        <f>MASTER!C$17</f>
        <v>30</v>
      </c>
      <c r="AC6" t="str">
        <f>MASTER!H$7</f>
        <v>IMPLANTURI, PROTEZE SI EVALUARE BIOMECANICĂ</v>
      </c>
      <c r="AD6">
        <f>MASTER!A$17</f>
        <v>20</v>
      </c>
      <c r="AE6">
        <f>MASTER!B$17</f>
        <v>70</v>
      </c>
      <c r="AF6">
        <f>MASTER!D$17</f>
        <v>0</v>
      </c>
      <c r="AG6" t="str">
        <f>MASTER!BT483</f>
        <v>2023</v>
      </c>
    </row>
    <row r="7" spans="1:33" x14ac:dyDescent="0.2">
      <c r="A7" s="57" t="str">
        <f>MASTER!AT484</f>
        <v>M460.23.01.S5</v>
      </c>
      <c r="B7" s="57">
        <f>MASTER!AU484</f>
        <v>5</v>
      </c>
      <c r="C7" s="57" t="str">
        <f>MASTER!AV484</f>
        <v>Practică 1 de specialitate</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Științe inginerești aplicate</v>
      </c>
      <c r="AB7">
        <f>MASTER!C$17</f>
        <v>30</v>
      </c>
      <c r="AC7" t="str">
        <f>MASTER!H$7</f>
        <v>IMPLANTURI, PROTEZE SI EVALUARE BIOMECANICĂ</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Științe inginerești aplicate</v>
      </c>
      <c r="AB8">
        <f>MASTER!C$17</f>
        <v>30</v>
      </c>
      <c r="AC8" t="str">
        <f>MASTER!H$7</f>
        <v>IMPLANTURI, PROTEZE SI EVALUARE BIOMECANICĂ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Științe inginerești aplicate</v>
      </c>
      <c r="AB9">
        <f>MASTER!C$17</f>
        <v>30</v>
      </c>
      <c r="AC9" t="str">
        <f>MASTER!H$7</f>
        <v>IMPLANTURI, PROTEZE SI EVALUARE BIOMECANICĂ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Științe inginerești aplicate</v>
      </c>
      <c r="AB10">
        <f>MASTER!C$17</f>
        <v>30</v>
      </c>
      <c r="AC10" t="str">
        <f>MASTER!H$7</f>
        <v>IMPLANTURI, PROTEZE SI EVALUARE BIOMECANICĂ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Științe inginerești aplicate</v>
      </c>
      <c r="AB11">
        <f>MASTER!C$17</f>
        <v>30</v>
      </c>
      <c r="AC11" t="str">
        <f>MASTER!H$7</f>
        <v>IMPLANTURI, PROTEZE SI EVALUARE BIOMECANICĂ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Științe inginerești aplicate</v>
      </c>
      <c r="AB12">
        <f>MASTER!C$17</f>
        <v>30</v>
      </c>
      <c r="AC12" t="str">
        <f>MASTER!H$7</f>
        <v>IMPLANTURI, PROTEZE SI EVALUARE BIOMECANICĂ</v>
      </c>
      <c r="AD12">
        <f>MASTER!A$17</f>
        <v>20</v>
      </c>
      <c r="AE12">
        <f>MASTER!B$17</f>
        <v>70</v>
      </c>
      <c r="AF12">
        <f>MASTER!D$17</f>
        <v>0</v>
      </c>
      <c r="AG12" t="str">
        <f>MASTER!BT489</f>
        <v/>
      </c>
    </row>
    <row r="13" spans="1:33" x14ac:dyDescent="0.2">
      <c r="A13" s="57" t="str">
        <f>MASTER!AT490</f>
        <v>M460.23.02.V1</v>
      </c>
      <c r="B13" s="57">
        <f>MASTER!AU490</f>
        <v>1</v>
      </c>
      <c r="C13" s="57" t="str">
        <f>MASTER!AV490</f>
        <v>Implantologie şi protezare inteligentă</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4</v>
      </c>
      <c r="U13" s="57">
        <f>MASTER!BN490</f>
        <v>56</v>
      </c>
      <c r="V13" s="57">
        <f>MASTER!BO490</f>
        <v>6</v>
      </c>
      <c r="W13" s="57" t="str">
        <f>MASTER!BP490</f>
        <v>DCAV</v>
      </c>
      <c r="X13" s="57">
        <f>MASTER!BQ490</f>
        <v>7</v>
      </c>
      <c r="Y13" s="57">
        <f>MASTER!BR490</f>
        <v>0</v>
      </c>
      <c r="Z13" s="57">
        <f>MASTER!BS490</f>
        <v>1</v>
      </c>
      <c r="AA13" t="str">
        <f>MASTER!H$6</f>
        <v>Științe inginerești aplicate</v>
      </c>
      <c r="AB13">
        <f>MASTER!C$17</f>
        <v>30</v>
      </c>
      <c r="AC13" t="str">
        <f>MASTER!H$7</f>
        <v>IMPLANTURI, PROTEZE SI EVALUARE BIOMECANICĂ</v>
      </c>
      <c r="AD13">
        <f>MASTER!A$17</f>
        <v>20</v>
      </c>
      <c r="AE13">
        <f>MASTER!B$17</f>
        <v>70</v>
      </c>
      <c r="AF13">
        <f>MASTER!D$17</f>
        <v>0</v>
      </c>
      <c r="AG13" t="str">
        <f>MASTER!BT490</f>
        <v>2023</v>
      </c>
    </row>
    <row r="14" spans="1:33" x14ac:dyDescent="0.2">
      <c r="A14" s="57" t="str">
        <f>MASTER!AT491</f>
        <v>M460.23.02.A2-ij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DA</v>
      </c>
      <c r="X14" s="57" t="str">
        <f>MASTER!BQ491</f>
        <v/>
      </c>
      <c r="Y14" s="57" t="str">
        <f>MASTER!BR491</f>
        <v/>
      </c>
      <c r="Z14" s="57">
        <f>MASTER!BS491</f>
        <v>0</v>
      </c>
      <c r="AA14" t="str">
        <f>MASTER!H$6</f>
        <v>Științe inginerești aplicate</v>
      </c>
      <c r="AB14">
        <f>MASTER!C$17</f>
        <v>30</v>
      </c>
      <c r="AC14" t="str">
        <f>MASTER!H$7</f>
        <v>IMPLANTURI, PROTEZE SI EVALUARE BIOMECANICĂ</v>
      </c>
      <c r="AD14">
        <f>MASTER!A$17</f>
        <v>20</v>
      </c>
      <c r="AE14">
        <f>MASTER!B$17</f>
        <v>70</v>
      </c>
      <c r="AF14">
        <f>MASTER!D$17</f>
        <v>0</v>
      </c>
      <c r="AG14" t="str">
        <f>MASTER!BT491</f>
        <v/>
      </c>
    </row>
    <row r="15" spans="1:33" x14ac:dyDescent="0.2">
      <c r="A15" s="57" t="str">
        <f>MASTER!AT492</f>
        <v>M460.23.02.V3</v>
      </c>
      <c r="B15" s="57">
        <f>MASTER!AU492</f>
        <v>3</v>
      </c>
      <c r="C15" s="57" t="str">
        <f>MASTER!AV492</f>
        <v>Tehnici experimentale de investigare biomecanică</v>
      </c>
      <c r="D15" s="57">
        <f>MASTER!AW492</f>
        <v>1</v>
      </c>
      <c r="E15" s="57" t="str">
        <f>MASTER!AX492</f>
        <v>2</v>
      </c>
      <c r="F15" s="57" t="str">
        <f>MASTER!AY492</f>
        <v>E</v>
      </c>
      <c r="G15" s="57" t="str">
        <f>MASTER!AZ492</f>
        <v>DI</v>
      </c>
      <c r="H15" s="57">
        <f>MASTER!BA492</f>
        <v>2</v>
      </c>
      <c r="I15" s="57">
        <f>MASTER!BB492</f>
        <v>3</v>
      </c>
      <c r="J15" s="57">
        <f>MASTER!BC492</f>
        <v>5</v>
      </c>
      <c r="K15" s="57">
        <f>MASTER!BD492</f>
        <v>28</v>
      </c>
      <c r="L15" s="57">
        <f>MASTER!BE492</f>
        <v>42</v>
      </c>
      <c r="M15" s="57">
        <f>MASTER!BF492</f>
        <v>70</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DCAV</v>
      </c>
      <c r="X15" s="57" t="e">
        <f>MASTER!BQ492</f>
        <v>#VALUE!</v>
      </c>
      <c r="Y15" s="57" t="str">
        <f>MASTER!BR492</f>
        <v/>
      </c>
      <c r="Z15" s="57">
        <f>MASTER!BS492</f>
        <v>1</v>
      </c>
      <c r="AA15" t="str">
        <f>MASTER!H$6</f>
        <v>Științe inginerești aplicate</v>
      </c>
      <c r="AB15">
        <f>MASTER!C$17</f>
        <v>30</v>
      </c>
      <c r="AC15" t="str">
        <f>MASTER!H$7</f>
        <v>IMPLANTURI, PROTEZE SI EVALUARE BIOMECANICĂ</v>
      </c>
      <c r="AD15">
        <f>MASTER!A$17</f>
        <v>20</v>
      </c>
      <c r="AE15">
        <f>MASTER!B$17</f>
        <v>70</v>
      </c>
      <c r="AF15">
        <f>MASTER!D$17</f>
        <v>0</v>
      </c>
      <c r="AG15" t="str">
        <f>MASTER!BT492</f>
        <v>2023</v>
      </c>
    </row>
    <row r="16" spans="1:33" x14ac:dyDescent="0.2">
      <c r="A16" s="57" t="str">
        <f>MASTER!AT493</f>
        <v>M460.23.02.C4</v>
      </c>
      <c r="B16" s="57">
        <f>MASTER!AU493</f>
        <v>4</v>
      </c>
      <c r="C16" s="57" t="str">
        <f>MASTER!AV493</f>
        <v xml:space="preserve">Kinetoterapie și kinetoprofilaxie în sport   </v>
      </c>
      <c r="D16" s="57">
        <f>MASTER!AW493</f>
        <v>1</v>
      </c>
      <c r="E16" s="57" t="str">
        <f>MASTER!AX493</f>
        <v>2</v>
      </c>
      <c r="F16" s="57" t="str">
        <f>MASTER!AY493</f>
        <v>E</v>
      </c>
      <c r="G16" s="57" t="str">
        <f>MASTER!AZ493</f>
        <v>DI</v>
      </c>
      <c r="H16" s="57">
        <f>MASTER!BA493</f>
        <v>1</v>
      </c>
      <c r="I16" s="57">
        <f>MASTER!BB493</f>
        <v>1</v>
      </c>
      <c r="J16" s="57">
        <f>MASTER!BC493</f>
        <v>2</v>
      </c>
      <c r="K16" s="57">
        <f>MASTER!BD493</f>
        <v>14</v>
      </c>
      <c r="L16" s="57">
        <f>MASTER!BE493</f>
        <v>14</v>
      </c>
      <c r="M16" s="57">
        <f>MASTER!BF493</f>
        <v>28</v>
      </c>
      <c r="N16" s="57">
        <f>MASTER!BG493</f>
        <v>0</v>
      </c>
      <c r="O16" s="57" t="str">
        <f>MASTER!BH493</f>
        <v/>
      </c>
      <c r="P16" s="57">
        <f>MASTER!BI493</f>
        <v>0</v>
      </c>
      <c r="Q16" s="57">
        <f>MASTER!BJ493</f>
        <v>0</v>
      </c>
      <c r="R16" s="57" t="str">
        <f>MASTER!BK493</f>
        <v/>
      </c>
      <c r="S16" s="57">
        <f>MASTER!BL493</f>
        <v>0</v>
      </c>
      <c r="T16" s="57">
        <f>MASTER!BM493</f>
        <v>2</v>
      </c>
      <c r="U16" s="57">
        <f>MASTER!BN493</f>
        <v>28</v>
      </c>
      <c r="V16" s="57">
        <f>MASTER!BO493</f>
        <v>4</v>
      </c>
      <c r="W16" s="57" t="str">
        <f>MASTER!BP493</f>
        <v>DVAC</v>
      </c>
      <c r="X16" s="57">
        <f>MASTER!BQ493</f>
        <v>4</v>
      </c>
      <c r="Y16" s="57">
        <f>MASTER!BR493</f>
        <v>0</v>
      </c>
      <c r="Z16" s="57">
        <f>MASTER!BS493</f>
        <v>1</v>
      </c>
      <c r="AA16" t="str">
        <f>MASTER!H$6</f>
        <v>Științe inginerești aplicate</v>
      </c>
      <c r="AB16">
        <f>MASTER!C$17</f>
        <v>30</v>
      </c>
      <c r="AC16" t="str">
        <f>MASTER!H$7</f>
        <v>IMPLANTURI, PROTEZE SI EVALUARE BIOMECANICĂ</v>
      </c>
      <c r="AD16">
        <f>MASTER!A$17</f>
        <v>20</v>
      </c>
      <c r="AE16">
        <f>MASTER!B$17</f>
        <v>70</v>
      </c>
      <c r="AF16">
        <f>MASTER!D$17</f>
        <v>0</v>
      </c>
      <c r="AG16" t="str">
        <f>MASTER!BT493</f>
        <v>2023</v>
      </c>
    </row>
    <row r="17" spans="1:33" x14ac:dyDescent="0.2">
      <c r="A17" s="57" t="str">
        <f>MASTER!AT494</f>
        <v>M460.23.02.C5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Științe inginerești aplicate</v>
      </c>
      <c r="AB17">
        <f>MASTER!C$17</f>
        <v>30</v>
      </c>
      <c r="AC17" t="str">
        <f>MASTER!H$7</f>
        <v>IMPLANTURI, PROTEZE SI EVALUARE BIOMECANICĂ</v>
      </c>
      <c r="AD17">
        <f>MASTER!A$17</f>
        <v>20</v>
      </c>
      <c r="AE17">
        <f>MASTER!B$17</f>
        <v>70</v>
      </c>
      <c r="AF17">
        <f>MASTER!D$17</f>
        <v>0</v>
      </c>
      <c r="AG17" t="str">
        <f>MASTER!BT494</f>
        <v>2023</v>
      </c>
    </row>
    <row r="18" spans="1:33" x14ac:dyDescent="0.2">
      <c r="A18" s="57" t="str">
        <f>MASTER!AT495</f>
        <v>M460.23.02.S6</v>
      </c>
      <c r="B18" s="57">
        <f>MASTER!AU495</f>
        <v>6</v>
      </c>
      <c r="C18" s="57" t="str">
        <f>MASTER!AV495</f>
        <v>Practică 2 de specialiatate</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Științe inginerești aplicate</v>
      </c>
      <c r="AB18">
        <f>MASTER!C$17</f>
        <v>30</v>
      </c>
      <c r="AC18" t="str">
        <f>MASTER!H$7</f>
        <v>IMPLANTURI, PROTEZE SI EVALUARE BIOMECANICĂ</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Științe inginerești aplicate</v>
      </c>
      <c r="AB19">
        <f>MASTER!C$17</f>
        <v>30</v>
      </c>
      <c r="AC19" t="str">
        <f>MASTER!H$7</f>
        <v>IMPLANTURI, PROTEZE SI EVALUARE BIOMECANICĂ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Științe inginerești aplicate</v>
      </c>
      <c r="AB20">
        <f>MASTER!C$17</f>
        <v>30</v>
      </c>
      <c r="AC20" t="str">
        <f>MASTER!H$7</f>
        <v>IMPLANTURI, PROTEZE SI EVALUARE BIOMECANICĂ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Științe inginerești aplicate</v>
      </c>
      <c r="AB21">
        <f>MASTER!C$17</f>
        <v>30</v>
      </c>
      <c r="AC21" t="str">
        <f>MASTER!H$7</f>
        <v>IMPLANTURI, PROTEZE SI EVALUARE BIOMECANICĂ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Științe inginerești aplicate</v>
      </c>
      <c r="AB22">
        <f>MASTER!C$17</f>
        <v>30</v>
      </c>
      <c r="AC22" t="str">
        <f>MASTER!H$7</f>
        <v>IMPLANTURI, PROTEZE SI EVALUARE BIOMECANICĂ</v>
      </c>
      <c r="AD22">
        <f>MASTER!A$17</f>
        <v>20</v>
      </c>
      <c r="AE22">
        <f>MASTER!B$17</f>
        <v>70</v>
      </c>
      <c r="AF22">
        <f>MASTER!D$17</f>
        <v>0</v>
      </c>
      <c r="AG22" t="str">
        <f>MASTER!BT499</f>
        <v/>
      </c>
    </row>
    <row r="23" spans="1:33" x14ac:dyDescent="0.2">
      <c r="A23" s="57" t="str">
        <f>MASTER!AT500</f>
        <v>M460.23.03.A1-ij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112</v>
      </c>
      <c r="Z23" s="57">
        <f>MASTER!BS500</f>
        <v>0</v>
      </c>
      <c r="AA23" t="str">
        <f>MASTER!H$6</f>
        <v>Științe inginerești aplicate</v>
      </c>
      <c r="AB23">
        <f>MASTER!C$17</f>
        <v>30</v>
      </c>
      <c r="AC23" t="str">
        <f>MASTER!H$7</f>
        <v>IMPLANTURI, PROTEZE SI EVALUARE BIOMECANICĂ</v>
      </c>
      <c r="AD23">
        <f>MASTER!A$17</f>
        <v>20</v>
      </c>
      <c r="AE23">
        <f>MASTER!B$17</f>
        <v>70</v>
      </c>
      <c r="AF23">
        <f>MASTER!D$17</f>
        <v>0</v>
      </c>
      <c r="AG23" t="str">
        <f>MASTER!BT500</f>
        <v/>
      </c>
    </row>
    <row r="24" spans="1:33" x14ac:dyDescent="0.2">
      <c r="A24" s="57" t="str">
        <f>MASTER!AT501</f>
        <v>M460.23.03.S2-ij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DS</v>
      </c>
      <c r="X24" s="57" t="str">
        <f>MASTER!BQ501</f>
        <v/>
      </c>
      <c r="Y24" s="57" t="str">
        <f>MASTER!BR501</f>
        <v/>
      </c>
      <c r="Z24" s="57">
        <f>MASTER!BS501</f>
        <v>0</v>
      </c>
      <c r="AA24" t="str">
        <f>MASTER!H$6</f>
        <v>Științe inginerești aplicate</v>
      </c>
      <c r="AB24">
        <f>MASTER!C$17</f>
        <v>30</v>
      </c>
      <c r="AC24" t="str">
        <f>MASTER!H$7</f>
        <v>IMPLANTURI, PROTEZE SI EVALUARE BIOMECANICĂ</v>
      </c>
      <c r="AD24">
        <f>MASTER!A$17</f>
        <v>20</v>
      </c>
      <c r="AE24">
        <f>MASTER!B$17</f>
        <v>70</v>
      </c>
      <c r="AF24">
        <f>MASTER!D$17</f>
        <v>0</v>
      </c>
      <c r="AG24" t="str">
        <f>MASTER!BT501</f>
        <v/>
      </c>
    </row>
    <row r="25" spans="1:33" x14ac:dyDescent="0.2">
      <c r="A25" s="57" t="str">
        <f>MASTER!AT502</f>
        <v>M460.23.03.S3</v>
      </c>
      <c r="B25" s="57">
        <f>MASTER!AU502</f>
        <v>3</v>
      </c>
      <c r="C25" s="57" t="str">
        <f>MASTER!AV502</f>
        <v xml:space="preserve">Robotică medicală </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4</v>
      </c>
      <c r="U25" s="57">
        <f>MASTER!BN502</f>
        <v>56</v>
      </c>
      <c r="V25" s="57">
        <f>MASTER!BO502</f>
        <v>6</v>
      </c>
      <c r="W25" s="57" t="str">
        <f>MASTER!BP502</f>
        <v>DS</v>
      </c>
      <c r="X25" s="57">
        <f>MASTER!BQ502</f>
        <v>8</v>
      </c>
      <c r="Y25" s="57" t="str">
        <f>MASTER!BR502</f>
        <v/>
      </c>
      <c r="Z25" s="57">
        <f>MASTER!BS502</f>
        <v>1</v>
      </c>
      <c r="AA25" t="str">
        <f>MASTER!H$6</f>
        <v>Științe inginerești aplicate</v>
      </c>
      <c r="AB25">
        <f>MASTER!C$17</f>
        <v>30</v>
      </c>
      <c r="AC25" t="str">
        <f>MASTER!H$7</f>
        <v>IMPLANTURI, PROTEZE SI EVALUARE BIOMECANICĂ</v>
      </c>
      <c r="AD25">
        <f>MASTER!A$17</f>
        <v>20</v>
      </c>
      <c r="AE25">
        <f>MASTER!B$17</f>
        <v>70</v>
      </c>
      <c r="AF25">
        <f>MASTER!D$17</f>
        <v>0</v>
      </c>
      <c r="AG25" t="str">
        <f>MASTER!BT502</f>
        <v>2024</v>
      </c>
    </row>
    <row r="26" spans="1:33" x14ac:dyDescent="0.2">
      <c r="A26" s="57" t="str">
        <f>MASTER!AT503</f>
        <v>M460.23.03.V4</v>
      </c>
      <c r="B26" s="57">
        <f>MASTER!AU503</f>
        <v>4</v>
      </c>
      <c r="C26" s="57" t="str">
        <f>MASTER!AV503</f>
        <v xml:space="preserve">Dispozitive pentru ortognatodonție </v>
      </c>
      <c r="D26" s="57">
        <f>MASTER!AW503</f>
        <v>2</v>
      </c>
      <c r="E26" s="57" t="str">
        <f>MASTER!AX503</f>
        <v>1</v>
      </c>
      <c r="F26" s="57" t="str">
        <f>MASTER!AY503</f>
        <v>E</v>
      </c>
      <c r="G26" s="57" t="str">
        <f>MASTER!AZ503</f>
        <v>DI</v>
      </c>
      <c r="H26" s="57">
        <f>MASTER!BA503</f>
        <v>2</v>
      </c>
      <c r="I26" s="57">
        <f>MASTER!BB503</f>
        <v>2</v>
      </c>
      <c r="J26" s="57">
        <f>MASTER!BC503</f>
        <v>4</v>
      </c>
      <c r="K26" s="57">
        <f>MASTER!BD503</f>
        <v>28</v>
      </c>
      <c r="L26" s="57">
        <f>MASTER!BE503</f>
        <v>28</v>
      </c>
      <c r="M26" s="57">
        <f>MASTER!BF503</f>
        <v>56</v>
      </c>
      <c r="N26" s="57">
        <f>MASTER!BG503</f>
        <v>0</v>
      </c>
      <c r="O26" s="57" t="str">
        <f>MASTER!BH503</f>
        <v/>
      </c>
      <c r="P26" s="57">
        <f>MASTER!BI503</f>
        <v>0</v>
      </c>
      <c r="Q26" s="57">
        <f>MASTER!BJ503</f>
        <v>0</v>
      </c>
      <c r="R26" s="57" t="str">
        <f>MASTER!BK503</f>
        <v/>
      </c>
      <c r="S26" s="57">
        <f>MASTER!BL503</f>
        <v>0</v>
      </c>
      <c r="T26" s="57">
        <f>MASTER!BM503</f>
        <v>4</v>
      </c>
      <c r="U26" s="57">
        <f>MASTER!BN503</f>
        <v>56</v>
      </c>
      <c r="V26" s="57">
        <f>MASTER!BO503</f>
        <v>6</v>
      </c>
      <c r="W26" s="57" t="str">
        <f>MASTER!BP503</f>
        <v>DCAV</v>
      </c>
      <c r="X26" s="57">
        <f>MASTER!BQ503</f>
        <v>8</v>
      </c>
      <c r="Y26" s="57">
        <f>MASTER!BR503</f>
        <v>112</v>
      </c>
      <c r="Z26" s="57">
        <f>MASTER!BS503</f>
        <v>1</v>
      </c>
      <c r="AA26" t="str">
        <f>MASTER!H$6</f>
        <v>Științe inginerești aplicate</v>
      </c>
      <c r="AB26">
        <f>MASTER!C$17</f>
        <v>30</v>
      </c>
      <c r="AC26" t="str">
        <f>MASTER!H$7</f>
        <v>IMPLANTURI, PROTEZE SI EVALUARE BIOMECANICĂ</v>
      </c>
      <c r="AD26">
        <f>MASTER!A$17</f>
        <v>20</v>
      </c>
      <c r="AE26">
        <f>MASTER!B$17</f>
        <v>70</v>
      </c>
      <c r="AF26">
        <f>MASTER!D$17</f>
        <v>0</v>
      </c>
      <c r="AG26" t="str">
        <f>MASTER!BT503</f>
        <v>2024</v>
      </c>
    </row>
    <row r="27" spans="1:33" x14ac:dyDescent="0.2">
      <c r="A27" s="57" t="str">
        <f>MASTER!AT504</f>
        <v>M460.23.03.S5</v>
      </c>
      <c r="B27" s="57">
        <f>MASTER!AU504</f>
        <v>5</v>
      </c>
      <c r="C27" s="57" t="str">
        <f>MASTER!AV504</f>
        <v>Practica 1 de specialitate</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Științe inginerești aplicate</v>
      </c>
      <c r="AB27">
        <f>MASTER!C$17</f>
        <v>30</v>
      </c>
      <c r="AC27" t="str">
        <f>MASTER!H$7</f>
        <v>IMPLANTURI, PROTEZE SI EVALUARE BIOMECANICĂ</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Științe inginerești aplicate</v>
      </c>
      <c r="AB28">
        <f>MASTER!C$17</f>
        <v>30</v>
      </c>
      <c r="AC28" t="str">
        <f>MASTER!H$7</f>
        <v>IMPLANTURI, PROTEZE SI EVALUARE BIOMECANICĂ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Științe inginerești aplicate</v>
      </c>
      <c r="AB29">
        <f>MASTER!C$17</f>
        <v>30</v>
      </c>
      <c r="AC29" t="str">
        <f>MASTER!H$7</f>
        <v>IMPLANTURI, PROTEZE SI EVALUARE BIOMECANICĂ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Științe inginerești aplicate</v>
      </c>
      <c r="AB30">
        <f>MASTER!C$17</f>
        <v>30</v>
      </c>
      <c r="AC30" t="str">
        <f>MASTER!H$7</f>
        <v>IMPLANTURI, PROTEZE SI EVALUARE BIOMECANICĂ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Științe inginerești aplicate</v>
      </c>
      <c r="AB31">
        <f>MASTER!C$17</f>
        <v>30</v>
      </c>
      <c r="AC31" t="str">
        <f>MASTER!H$7</f>
        <v>IMPLANTURI, PROTEZE SI EVALUARE BIOMECANICĂ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Științe inginerești aplicate</v>
      </c>
      <c r="AB32">
        <f>MASTER!C$17</f>
        <v>30</v>
      </c>
      <c r="AC32" t="str">
        <f>MASTER!H$7</f>
        <v>IMPLANTURI, PROTEZE SI EVALUARE BIOMECANICĂ</v>
      </c>
      <c r="AD32">
        <f>MASTER!A$17</f>
        <v>20</v>
      </c>
      <c r="AE32">
        <f>MASTER!B$17</f>
        <v>70</v>
      </c>
      <c r="AF32">
        <f>MASTER!D$17</f>
        <v>0</v>
      </c>
      <c r="AG32" t="str">
        <f>MASTER!BT509</f>
        <v/>
      </c>
    </row>
    <row r="33" spans="1:33" x14ac:dyDescent="0.2">
      <c r="A33" s="57" t="str">
        <f>MASTER!AT510</f>
        <v>M460.23.04.V1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Științe inginerești aplicate</v>
      </c>
      <c r="AB33">
        <f>MASTER!C$17</f>
        <v>30</v>
      </c>
      <c r="AC33" t="str">
        <f>MASTER!H$7</f>
        <v>IMPLANTURI, PROTEZE SI EVALUARE BIOMECANICĂ</v>
      </c>
      <c r="AD33">
        <f>MASTER!A$17</f>
        <v>20</v>
      </c>
      <c r="AE33">
        <f>MASTER!B$17</f>
        <v>70</v>
      </c>
      <c r="AF33">
        <f>MASTER!D$17</f>
        <v>0</v>
      </c>
      <c r="AG33" t="str">
        <f>MASTER!BT510</f>
        <v>2024</v>
      </c>
    </row>
    <row r="34" spans="1:33" x14ac:dyDescent="0.2">
      <c r="A34" s="57" t="str">
        <f>MASTER!AT511</f>
        <v>M460.23.04.V2</v>
      </c>
      <c r="B34" s="57">
        <f>MASTER!AU511</f>
        <v>2</v>
      </c>
      <c r="C34" s="57" t="str">
        <f>MASTER!AV511</f>
        <v>Elaborarea lucrării de disertaţie</v>
      </c>
      <c r="D34" s="57">
        <f>MASTER!AW511</f>
        <v>2</v>
      </c>
      <c r="E34" s="57" t="str">
        <f>MASTER!AX511</f>
        <v>4</v>
      </c>
      <c r="F34" s="57" t="str">
        <f>MASTER!AY511</f>
        <v>D</v>
      </c>
      <c r="G34" s="57" t="str">
        <f>MASTER!AZ511</f>
        <v>DI</v>
      </c>
      <c r="H34" s="57">
        <f>MASTER!BA511</f>
        <v>0.1</v>
      </c>
      <c r="I34" s="57">
        <f>MASTER!BB511</f>
        <v>0.3</v>
      </c>
      <c r="J34" s="57">
        <f>MASTER!BC511</f>
        <v>0.4</v>
      </c>
      <c r="K34" s="57">
        <f>MASTER!BD511</f>
        <v>2</v>
      </c>
      <c r="L34" s="57">
        <f>MASTER!BE511</f>
        <v>4</v>
      </c>
      <c r="M34" s="57">
        <f>MASTER!BF511</f>
        <v>6</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t="str">
        <f>MASTER!BR511</f>
        <v/>
      </c>
      <c r="Z34" s="57">
        <f>MASTER!BS511</f>
        <v>1</v>
      </c>
      <c r="AA34" t="str">
        <f>MASTER!H$6</f>
        <v>Științe inginerești aplicate</v>
      </c>
      <c r="AB34">
        <f>MASTER!C$17</f>
        <v>30</v>
      </c>
      <c r="AC34" t="str">
        <f>MASTER!H$7</f>
        <v>IMPLANTURI, PROTEZE SI EVALUARE BIOMECANICĂ</v>
      </c>
      <c r="AD34">
        <f>MASTER!A$17</f>
        <v>20</v>
      </c>
      <c r="AE34">
        <f>MASTER!B$17</f>
        <v>70</v>
      </c>
      <c r="AF34">
        <f>MASTER!D$17</f>
        <v>0</v>
      </c>
      <c r="AG34" t="str">
        <f>MASTER!BT511</f>
        <v>2024</v>
      </c>
    </row>
    <row r="35" spans="1:33" x14ac:dyDescent="0.2">
      <c r="A35" s="57" t="str">
        <f>MASTER!AT512</f>
        <v>M460.23.04.S3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Științe inginerești aplicate</v>
      </c>
      <c r="AB35">
        <f>MASTER!C$17</f>
        <v>30</v>
      </c>
      <c r="AC35" t="str">
        <f>MASTER!H$7</f>
        <v>IMPLANTURI, PROTEZE SI EVALUARE BIOMECANICĂ</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Științe inginerești aplicate</v>
      </c>
      <c r="AB36">
        <f>MASTER!C$17</f>
        <v>30</v>
      </c>
      <c r="AC36" t="str">
        <f>MASTER!H$7</f>
        <v>IMPLANTURI, PROTEZE SI EVALUARE BIOMECANICĂ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Științe inginerești aplicate</v>
      </c>
      <c r="AB37">
        <f>MASTER!C$17</f>
        <v>30</v>
      </c>
      <c r="AC37" t="str">
        <f>MASTER!H$7</f>
        <v>IMPLANTURI, PROTEZE SI EVALUARE BIOMECANICĂ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Științe inginerești aplicate</v>
      </c>
      <c r="AB38">
        <f>MASTER!C$17</f>
        <v>30</v>
      </c>
      <c r="AC38" t="str">
        <f>MASTER!H$7</f>
        <v>IMPLANTURI, PROTEZE SI EVALUARE BIOMECANICĂ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Științe inginerești aplicate</v>
      </c>
      <c r="AB39">
        <f>MASTER!C$17</f>
        <v>30</v>
      </c>
      <c r="AC39" t="str">
        <f>MASTER!H$7</f>
        <v>IMPLANTURI, PROTEZE SI EVALUARE BIOMECANICĂ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Științe inginerești aplicate</v>
      </c>
      <c r="AB40">
        <f>MASTER!C$17</f>
        <v>30</v>
      </c>
      <c r="AC40" t="str">
        <f>MASTER!H$7</f>
        <v>IMPLANTURI, PROTEZE SI EVALUARE BIOMECANICĂ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Științe inginerești aplicate</v>
      </c>
      <c r="AB41">
        <f>MASTER!C$17</f>
        <v>30</v>
      </c>
      <c r="AC41" t="str">
        <f>MASTER!H$7</f>
        <v>IMPLANTURI, PROTEZE SI EVALUARE BIOMECANICĂ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Științe inginerești aplicate</v>
      </c>
      <c r="AB42">
        <f>MASTER!C$17</f>
        <v>30</v>
      </c>
      <c r="AC42" t="str">
        <f>MASTER!H$7</f>
        <v>IMPLANTURI, PROTEZE SI EVALUARE BIOMECANICĂ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Științe inginerești aplicate</v>
      </c>
      <c r="AB43">
        <f>MASTER!C$17</f>
        <v>30</v>
      </c>
      <c r="AC43" t="str">
        <f>MASTER!H$7</f>
        <v>IMPLANTURI, PROTEZE SI EVALUARE BIOMECANICĂ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Științe inginerești aplicate</v>
      </c>
      <c r="AB44">
        <f>MASTER!C$17</f>
        <v>30</v>
      </c>
      <c r="AC44" t="str">
        <f>MASTER!H$7</f>
        <v>IMPLANTURI, PROTEZE SI EVALUARE BIOMECANICĂ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Științe inginerești aplicate</v>
      </c>
      <c r="AB45">
        <f>MASTER!C$17</f>
        <v>30</v>
      </c>
      <c r="AC45" t="str">
        <f>MASTER!H$7</f>
        <v>IMPLANTURI, PROTEZE SI EVALUARE BIOMECANICĂ</v>
      </c>
      <c r="AD45">
        <f>MASTER!A$17</f>
        <v>20</v>
      </c>
      <c r="AE45">
        <f>MASTER!B$17</f>
        <v>70</v>
      </c>
      <c r="AF45">
        <f>MASTER!D$17</f>
        <v>0</v>
      </c>
      <c r="AG45" t="e">
        <f>MASTER!BT522</f>
        <v>#VALUE!</v>
      </c>
    </row>
    <row r="46" spans="1:33" x14ac:dyDescent="0.2">
      <c r="A46" s="57" t="str">
        <f>MASTER!AT523</f>
        <v>M460.23.01.V2-01</v>
      </c>
      <c r="B46" s="57">
        <f>MASTER!AU523</f>
        <v>1</v>
      </c>
      <c r="C46" s="57" t="str">
        <f>MASTER!AV523</f>
        <v>Opțional 1 independent                                                                                                        Hemodinamică</v>
      </c>
      <c r="D46" s="57">
        <f>MASTER!AW523</f>
        <v>1</v>
      </c>
      <c r="E46" s="57" t="str">
        <f>MASTER!AX523</f>
        <v>1</v>
      </c>
      <c r="F46" s="57" t="str">
        <f>MASTER!AY523</f>
        <v>E</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Științe inginerești aplicate</v>
      </c>
      <c r="AB46">
        <f>MASTER!C$17</f>
        <v>30</v>
      </c>
      <c r="AC46" t="str">
        <f>MASTER!H$7</f>
        <v>IMPLANTURI, PROTEZE SI EVALUARE BIOMECANICĂ</v>
      </c>
      <c r="AD46">
        <f>MASTER!A$17</f>
        <v>20</v>
      </c>
      <c r="AE46">
        <f>MASTER!B$17</f>
        <v>70</v>
      </c>
      <c r="AF46">
        <f>MASTER!D$17</f>
        <v>0</v>
      </c>
      <c r="AG46" t="str">
        <f>MASTER!BT523</f>
        <v>2023</v>
      </c>
    </row>
    <row r="47" spans="1:33" x14ac:dyDescent="0.2">
      <c r="A47" s="57" t="str">
        <f>MASTER!AT524</f>
        <v>M460.23.01.V2-02</v>
      </c>
      <c r="B47" s="57">
        <f>MASTER!AU524</f>
        <v>2</v>
      </c>
      <c r="C47" s="57" t="str">
        <f>MASTER!AV524</f>
        <v>Opțional 1 independent                                                                                                        Tehnici avansate pentru prelevarea on-line a biosemnalelor</v>
      </c>
      <c r="D47" s="57">
        <f>MASTER!AW524</f>
        <v>1</v>
      </c>
      <c r="E47" s="57" t="str">
        <f>MASTER!AX524</f>
        <v>1</v>
      </c>
      <c r="F47" s="57" t="str">
        <f>MASTER!AY524</f>
        <v>E</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Științe inginerești aplicate</v>
      </c>
      <c r="AB47">
        <f>MASTER!C$17</f>
        <v>30</v>
      </c>
      <c r="AC47" t="str">
        <f>MASTER!H$7</f>
        <v>IMPLANTURI, PROTEZE SI EVALUARE BIOMECANICĂ</v>
      </c>
      <c r="AD47">
        <f>MASTER!A$17</f>
        <v>20</v>
      </c>
      <c r="AE47">
        <f>MASTER!B$17</f>
        <v>70</v>
      </c>
      <c r="AF47">
        <f>MASTER!D$17</f>
        <v>0</v>
      </c>
      <c r="AG47" t="str">
        <f>MASTER!BT524</f>
        <v>2023</v>
      </c>
    </row>
    <row r="48" spans="1:33" x14ac:dyDescent="0.2">
      <c r="A48" s="57" t="str">
        <f>MASTER!AT525</f>
        <v>M460.23.01.S3-03</v>
      </c>
      <c r="B48" s="57">
        <f>MASTER!AU525</f>
        <v>3</v>
      </c>
      <c r="C48" s="57" t="str">
        <f>MASTER!AV525</f>
        <v>Opțional 2 independent                                                                                                        Python în eSanatate</v>
      </c>
      <c r="D48" s="57">
        <f>MASTER!AW525</f>
        <v>1</v>
      </c>
      <c r="E48" s="57" t="str">
        <f>MASTER!AX525</f>
        <v>1</v>
      </c>
      <c r="F48" s="57" t="str">
        <f>MASTER!AY525</f>
        <v>E</v>
      </c>
      <c r="G48" s="57" t="str">
        <f>MASTER!AZ525</f>
        <v>DO</v>
      </c>
      <c r="H48" s="57">
        <f>MASTER!BA525</f>
        <v>1</v>
      </c>
      <c r="I48" s="57">
        <f>MASTER!BB525</f>
        <v>2</v>
      </c>
      <c r="J48" s="57">
        <f>MASTER!BC525</f>
        <v>3</v>
      </c>
      <c r="K48" s="57">
        <f>MASTER!BD525</f>
        <v>14</v>
      </c>
      <c r="L48" s="57">
        <f>MASTER!BE525</f>
        <v>28</v>
      </c>
      <c r="M48" s="57">
        <f>MASTER!BF525</f>
        <v>42</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Științe inginerești aplicate</v>
      </c>
      <c r="AB48">
        <f>MASTER!C$17</f>
        <v>30</v>
      </c>
      <c r="AC48" t="str">
        <f>MASTER!H$7</f>
        <v>IMPLANTURI, PROTEZE SI EVALUARE BIOMECANICĂ</v>
      </c>
      <c r="AD48">
        <f>MASTER!A$17</f>
        <v>20</v>
      </c>
      <c r="AE48">
        <f>MASTER!B$17</f>
        <v>70</v>
      </c>
      <c r="AF48">
        <f>MASTER!D$17</f>
        <v>0</v>
      </c>
      <c r="AG48" t="str">
        <f>MASTER!BT525</f>
        <v>2023</v>
      </c>
    </row>
    <row r="49" spans="1:33" x14ac:dyDescent="0.2">
      <c r="A49" s="57" t="str">
        <f>MASTER!AT526</f>
        <v>M460.23.01.S3-04</v>
      </c>
      <c r="B49" s="57">
        <f>MASTER!AU526</f>
        <v>4</v>
      </c>
      <c r="C49" s="57" t="str">
        <f>MASTER!AV526</f>
        <v>Opțional 2 independent                                                                                                       Python pentru construirea aplicatiilor medicale</v>
      </c>
      <c r="D49" s="57">
        <f>MASTER!AW526</f>
        <v>1</v>
      </c>
      <c r="E49" s="57" t="str">
        <f>MASTER!AX526</f>
        <v>1</v>
      </c>
      <c r="F49" s="57" t="str">
        <f>MASTER!AY526</f>
        <v>E</v>
      </c>
      <c r="G49" s="57" t="str">
        <f>MASTER!AZ526</f>
        <v>DO</v>
      </c>
      <c r="H49" s="57">
        <f>MASTER!BA526</f>
        <v>1</v>
      </c>
      <c r="I49" s="57">
        <f>MASTER!BB526</f>
        <v>2</v>
      </c>
      <c r="J49" s="57">
        <f>MASTER!BC526</f>
        <v>3</v>
      </c>
      <c r="K49" s="57">
        <f>MASTER!BD526</f>
        <v>14</v>
      </c>
      <c r="L49" s="57">
        <f>MASTER!BE526</f>
        <v>28</v>
      </c>
      <c r="M49" s="57">
        <f>MASTER!BF526</f>
        <v>42</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Științe inginerești aplicate</v>
      </c>
      <c r="AB49">
        <f>MASTER!C$17</f>
        <v>30</v>
      </c>
      <c r="AC49" t="str">
        <f>MASTER!H$7</f>
        <v>IMPLANTURI, PROTEZE SI EVALUARE BIOMECANICĂ</v>
      </c>
      <c r="AD49">
        <f>MASTER!A$17</f>
        <v>20</v>
      </c>
      <c r="AE49">
        <f>MASTER!B$17</f>
        <v>70</v>
      </c>
      <c r="AF49">
        <f>MASTER!D$17</f>
        <v>0</v>
      </c>
      <c r="AG49" t="str">
        <f>MASTER!BT526</f>
        <v>2023</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Științe inginerești aplicate</v>
      </c>
      <c r="AB50">
        <f>MASTER!C$17</f>
        <v>30</v>
      </c>
      <c r="AC50" t="str">
        <f>MASTER!H$7</f>
        <v>IMPLANTURI, PROTEZE SI EVALUARE BIOMECANICĂ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Științe inginerești aplicate</v>
      </c>
      <c r="AB51">
        <f>MASTER!C$17</f>
        <v>30</v>
      </c>
      <c r="AC51" t="str">
        <f>MASTER!H$7</f>
        <v>IMPLANTURI, PROTEZE SI EVALUARE BIOMECANICĂ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Științe inginerești aplicate</v>
      </c>
      <c r="AB52">
        <f>MASTER!C$17</f>
        <v>30</v>
      </c>
      <c r="AC52" t="str">
        <f>MASTER!H$7</f>
        <v>IMPLANTURI, PROTEZE SI EVALUARE BIOMECANICĂ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Științe inginerești aplicate</v>
      </c>
      <c r="AB53">
        <f>MASTER!C$17</f>
        <v>30</v>
      </c>
      <c r="AC53" t="str">
        <f>MASTER!H$7</f>
        <v>IMPLANTURI, PROTEZE SI EVALUARE BIOMECANICĂ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Științe inginerești aplicate</v>
      </c>
      <c r="AB54">
        <f>MASTER!C$17</f>
        <v>30</v>
      </c>
      <c r="AC54" t="str">
        <f>MASTER!H$7</f>
        <v>IMPLANTURI, PROTEZE SI EVALUARE BIOMECANICĂ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Științe inginerești aplicate</v>
      </c>
      <c r="AB55">
        <f>MASTER!C$17</f>
        <v>30</v>
      </c>
      <c r="AC55" t="str">
        <f>MASTER!H$7</f>
        <v>IMPLANTURI, PROTEZE SI EVALUARE BIOMECANICĂ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Științe inginerești aplicate</v>
      </c>
      <c r="AB56">
        <f>MASTER!C$17</f>
        <v>30</v>
      </c>
      <c r="AC56" t="str">
        <f>MASTER!H$7</f>
        <v>IMPLANTURI, PROTEZE SI EVALUARE BIOMECANICĂ</v>
      </c>
      <c r="AD56">
        <f>MASTER!A$17</f>
        <v>20</v>
      </c>
      <c r="AE56">
        <f>MASTER!B$17</f>
        <v>70</v>
      </c>
      <c r="AF56">
        <f>MASTER!D$17</f>
        <v>0</v>
      </c>
      <c r="AG56" t="str">
        <f>MASTER!BT533</f>
        <v/>
      </c>
    </row>
    <row r="57" spans="1:33" x14ac:dyDescent="0.2">
      <c r="A57" s="57" t="str">
        <f>MASTER!AT534</f>
        <v>M460.23.02.A2-01</v>
      </c>
      <c r="B57" s="57">
        <f>MASTER!AU534</f>
        <v>1</v>
      </c>
      <c r="C57" s="57" t="str">
        <f>MASTER!AV534</f>
        <v xml:space="preserve">Opțional 3 independent                                                                                                        Rezistența și oboseala structurilor biomecanice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Științe inginerești aplicate</v>
      </c>
      <c r="AB57">
        <f>MASTER!C$17</f>
        <v>30</v>
      </c>
      <c r="AC57" t="str">
        <f>MASTER!H$7</f>
        <v>IMPLANTURI, PROTEZE SI EVALUARE BIOMECANICĂ</v>
      </c>
      <c r="AD57">
        <f>MASTER!A$17</f>
        <v>20</v>
      </c>
      <c r="AE57">
        <f>MASTER!B$17</f>
        <v>70</v>
      </c>
      <c r="AF57">
        <f>MASTER!D$17</f>
        <v>0</v>
      </c>
      <c r="AG57" t="str">
        <f>MASTER!BT534</f>
        <v>2023</v>
      </c>
    </row>
    <row r="58" spans="1:33" x14ac:dyDescent="0.2">
      <c r="A58" s="57" t="str">
        <f>MASTER!AT535</f>
        <v>M460.23.02.A2-02</v>
      </c>
      <c r="B58" s="57">
        <f>MASTER!AU535</f>
        <v>2</v>
      </c>
      <c r="C58" s="57" t="str">
        <f>MASTER!AV535</f>
        <v xml:space="preserve">Opțional 3 independent                                                                                                        Analiza neliniară a sistemelor biomecanice       </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Științe inginerești aplicate</v>
      </c>
      <c r="AB58">
        <f>MASTER!C$17</f>
        <v>30</v>
      </c>
      <c r="AC58" t="str">
        <f>MASTER!H$7</f>
        <v>IMPLANTURI, PROTEZE SI EVALUARE BIOMECANICĂ</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Științe inginerești aplicate</v>
      </c>
      <c r="AB59">
        <f>MASTER!C$17</f>
        <v>30</v>
      </c>
      <c r="AC59" t="str">
        <f>MASTER!H$7</f>
        <v>IMPLANTURI, PROTEZE SI EVALUARE BIOMECANICĂ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Științe inginerești aplicate</v>
      </c>
      <c r="AB60">
        <f>MASTER!C$17</f>
        <v>30</v>
      </c>
      <c r="AC60" t="str">
        <f>MASTER!H$7</f>
        <v>IMPLANTURI, PROTEZE SI EVALUARE BIOMECANICĂ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Științe inginerești aplicate</v>
      </c>
      <c r="AB61">
        <f>MASTER!C$17</f>
        <v>30</v>
      </c>
      <c r="AC61" t="str">
        <f>MASTER!H$7</f>
        <v>IMPLANTURI, PROTEZE SI EVALUARE BIOMECANICĂ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Științe inginerești aplicate</v>
      </c>
      <c r="AB62">
        <f>MASTER!C$17</f>
        <v>30</v>
      </c>
      <c r="AC62" t="str">
        <f>MASTER!H$7</f>
        <v>IMPLANTURI, PROTEZE SI EVALUARE BIOMECANICĂ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Științe inginerești aplicate</v>
      </c>
      <c r="AB63">
        <f>MASTER!C$17</f>
        <v>30</v>
      </c>
      <c r="AC63" t="str">
        <f>MASTER!H$7</f>
        <v>IMPLANTURI, PROTEZE SI EVALUARE BIOMECANICĂ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Științe inginerești aplicate</v>
      </c>
      <c r="AB64">
        <f>MASTER!C$17</f>
        <v>30</v>
      </c>
      <c r="AC64" t="str">
        <f>MASTER!H$7</f>
        <v>IMPLANTURI, PROTEZE SI EVALUARE BIOMECANICĂ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Științe inginerești aplicate</v>
      </c>
      <c r="AB65">
        <f>MASTER!C$17</f>
        <v>30</v>
      </c>
      <c r="AC65" t="str">
        <f>MASTER!H$7</f>
        <v>IMPLANTURI, PROTEZE SI EVALUARE BIOMECANICĂ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Științe inginerești aplicate</v>
      </c>
      <c r="AB66">
        <f>MASTER!C$17</f>
        <v>30</v>
      </c>
      <c r="AC66" t="str">
        <f>MASTER!H$7</f>
        <v>IMPLANTURI, PROTEZE SI EVALUARE BIOMECANICĂ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Științe inginerești aplicate</v>
      </c>
      <c r="AB67">
        <f>MASTER!C$17</f>
        <v>30</v>
      </c>
      <c r="AC67" t="str">
        <f>MASTER!H$7</f>
        <v>IMPLANTURI, PROTEZE SI EVALUARE BIOMECANICĂ</v>
      </c>
      <c r="AD67">
        <f>MASTER!A$17</f>
        <v>20</v>
      </c>
      <c r="AE67">
        <f>MASTER!B$17</f>
        <v>70</v>
      </c>
      <c r="AF67">
        <f>MASTER!D$17</f>
        <v>0</v>
      </c>
      <c r="AG67" t="str">
        <f>MASTER!BT544</f>
        <v/>
      </c>
    </row>
    <row r="68" spans="1:33" x14ac:dyDescent="0.2">
      <c r="A68" s="57" t="str">
        <f>MASTER!AT545</f>
        <v>M460.23.03.A1-01</v>
      </c>
      <c r="B68" s="57">
        <f>MASTER!AU545</f>
        <v>1</v>
      </c>
      <c r="C68" s="57" t="str">
        <f>MASTER!AV545</f>
        <v xml:space="preserve">Opțional 4 independent                                                                                                          Aparatură pentru tehnici terapeutice şi chirurgicale avansate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Științe inginerești aplicate</v>
      </c>
      <c r="AB68">
        <f>MASTER!C$17</f>
        <v>30</v>
      </c>
      <c r="AC68" t="str">
        <f>MASTER!H$7</f>
        <v>IMPLANTURI, PROTEZE SI EVALUARE BIOMECANICĂ</v>
      </c>
      <c r="AD68">
        <f>MASTER!A$17</f>
        <v>20</v>
      </c>
      <c r="AE68">
        <f>MASTER!B$17</f>
        <v>70</v>
      </c>
      <c r="AF68">
        <f>MASTER!D$17</f>
        <v>0</v>
      </c>
      <c r="AG68" t="str">
        <f>MASTER!BT545</f>
        <v>2024</v>
      </c>
    </row>
    <row r="69" spans="1:33" x14ac:dyDescent="0.2">
      <c r="A69" s="57" t="str">
        <f>MASTER!AT546</f>
        <v>M460.23.03.A1-02</v>
      </c>
      <c r="B69" s="57">
        <f>MASTER!AU546</f>
        <v>2</v>
      </c>
      <c r="C69" s="57" t="str">
        <f>MASTER!AV546</f>
        <v xml:space="preserve">Opțional 4 independent                                                                                                          Design si dezvoltare de organe artificiale        </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Științe inginerești aplicate</v>
      </c>
      <c r="AB69">
        <f>MASTER!C$17</f>
        <v>30</v>
      </c>
      <c r="AC69" t="str">
        <f>MASTER!H$7</f>
        <v>IMPLANTURI, PROTEZE SI EVALUARE BIOMECANICĂ</v>
      </c>
      <c r="AD69">
        <f>MASTER!A$17</f>
        <v>20</v>
      </c>
      <c r="AE69">
        <f>MASTER!B$17</f>
        <v>70</v>
      </c>
      <c r="AF69">
        <f>MASTER!D$17</f>
        <v>0</v>
      </c>
      <c r="AG69" t="str">
        <f>MASTER!BT546</f>
        <v>2024</v>
      </c>
    </row>
    <row r="70" spans="1:33" x14ac:dyDescent="0.2">
      <c r="A70" s="57" t="str">
        <f>MASTER!AT547</f>
        <v>M460.23.03.S2-03</v>
      </c>
      <c r="B70" s="57">
        <f>MASTER!AU547</f>
        <v>3</v>
      </c>
      <c r="C70" s="57" t="str">
        <f>MASTER!AV547</f>
        <v xml:space="preserve">Opțional 5 independent                                                                                                          Statistică aplicată în cercetarea medicală         </v>
      </c>
      <c r="D70" s="57">
        <f>MASTER!AW547</f>
        <v>2</v>
      </c>
      <c r="E70" s="57" t="str">
        <f>MASTER!AX547</f>
        <v>3</v>
      </c>
      <c r="F70" s="57" t="str">
        <f>MASTER!AY547</f>
        <v>E</v>
      </c>
      <c r="G70" s="57" t="str">
        <f>MASTER!AZ547</f>
        <v>DO</v>
      </c>
      <c r="H70" s="57">
        <f>MASTER!BA547</f>
        <v>1</v>
      </c>
      <c r="I70" s="57">
        <f>MASTER!BB547</f>
        <v>1</v>
      </c>
      <c r="J70" s="57">
        <f>MASTER!BC547</f>
        <v>2</v>
      </c>
      <c r="K70" s="57">
        <f>MASTER!BD547</f>
        <v>14</v>
      </c>
      <c r="L70" s="57">
        <f>MASTER!BE547</f>
        <v>14</v>
      </c>
      <c r="M70" s="57">
        <f>MASTER!BF547</f>
        <v>28</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Științe inginerești aplicate</v>
      </c>
      <c r="AB70">
        <f>MASTER!C$17</f>
        <v>30</v>
      </c>
      <c r="AC70" t="str">
        <f>MASTER!H$7</f>
        <v>IMPLANTURI, PROTEZE SI EVALUARE BIOMECANICĂ</v>
      </c>
      <c r="AD70">
        <f>MASTER!A$17</f>
        <v>20</v>
      </c>
      <c r="AE70">
        <f>MASTER!B$17</f>
        <v>70</v>
      </c>
      <c r="AF70">
        <f>MASTER!D$17</f>
        <v>0</v>
      </c>
      <c r="AG70" t="str">
        <f>MASTER!BT547</f>
        <v>2024</v>
      </c>
    </row>
    <row r="71" spans="1:33" x14ac:dyDescent="0.2">
      <c r="A71" s="57" t="str">
        <f>MASTER!AT548</f>
        <v>M460.23.03.S2-04</v>
      </c>
      <c r="B71" s="57">
        <f>MASTER!AU548</f>
        <v>4</v>
      </c>
      <c r="C71" s="57" t="str">
        <f>MASTER!AV548</f>
        <v xml:space="preserve">Opțional 5 independent                                                                                                          Algoritmi şi tehnici de modelare şi simulare   </v>
      </c>
      <c r="D71" s="57">
        <f>MASTER!AW548</f>
        <v>2</v>
      </c>
      <c r="E71" s="57" t="str">
        <f>MASTER!AX548</f>
        <v>3</v>
      </c>
      <c r="F71" s="57" t="str">
        <f>MASTER!AY548</f>
        <v>E</v>
      </c>
      <c r="G71" s="57" t="str">
        <f>MASTER!AZ548</f>
        <v>DO</v>
      </c>
      <c r="H71" s="57">
        <f>MASTER!BA548</f>
        <v>1</v>
      </c>
      <c r="I71" s="57">
        <f>MASTER!BB548</f>
        <v>1</v>
      </c>
      <c r="J71" s="57">
        <f>MASTER!BC548</f>
        <v>2</v>
      </c>
      <c r="K71" s="57">
        <f>MASTER!BD548</f>
        <v>14</v>
      </c>
      <c r="L71" s="57">
        <f>MASTER!BE548</f>
        <v>14</v>
      </c>
      <c r="M71" s="57">
        <f>MASTER!BF548</f>
        <v>28</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Științe inginerești aplicate</v>
      </c>
      <c r="AB71">
        <f>MASTER!C$17</f>
        <v>30</v>
      </c>
      <c r="AC71" t="str">
        <f>MASTER!H$7</f>
        <v>IMPLANTURI, PROTEZE SI EVALUARE BIOMECANICĂ</v>
      </c>
      <c r="AD71">
        <f>MASTER!A$17</f>
        <v>20</v>
      </c>
      <c r="AE71">
        <f>MASTER!B$17</f>
        <v>70</v>
      </c>
      <c r="AF71">
        <f>MASTER!D$17</f>
        <v>0</v>
      </c>
      <c r="AG71" t="str">
        <f>MASTER!BT548</f>
        <v>2024</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Științe inginerești aplicate</v>
      </c>
      <c r="AB72">
        <f>MASTER!C$17</f>
        <v>30</v>
      </c>
      <c r="AC72" t="str">
        <f>MASTER!H$7</f>
        <v>IMPLANTURI, PROTEZE SI EVALUARE BIOMECANICĂ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Științe inginerești aplicate</v>
      </c>
      <c r="AB73">
        <f>MASTER!C$17</f>
        <v>30</v>
      </c>
      <c r="AC73" t="str">
        <f>MASTER!H$7</f>
        <v>IMPLANTURI, PROTEZE SI EVALUARE BIOMECANICĂ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Științe inginerești aplicate</v>
      </c>
      <c r="AB74">
        <f>MASTER!C$17</f>
        <v>30</v>
      </c>
      <c r="AC74" t="str">
        <f>MASTER!H$7</f>
        <v>IMPLANTURI, PROTEZE SI EVALUARE BIOMECANICĂ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Științe inginerești aplicate</v>
      </c>
      <c r="AB75">
        <f>MASTER!C$17</f>
        <v>30</v>
      </c>
      <c r="AC75" t="str">
        <f>MASTER!H$7</f>
        <v>IMPLANTURI, PROTEZE SI EVALUARE BIOMECANICĂ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Științe inginerești aplicate</v>
      </c>
      <c r="AB76">
        <f>MASTER!C$17</f>
        <v>30</v>
      </c>
      <c r="AC76" t="str">
        <f>MASTER!H$7</f>
        <v>IMPLANTURI, PROTEZE SI EVALUARE BIOMECANICĂ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Științe inginerești aplicate</v>
      </c>
      <c r="AB77">
        <f>MASTER!C$17</f>
        <v>30</v>
      </c>
      <c r="AC77" t="str">
        <f>MASTER!H$7</f>
        <v>IMPLANTURI, PROTEZE SI EVALUARE BIOMECANICĂ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Științe inginerești aplicate</v>
      </c>
      <c r="AB78">
        <f>MASTER!C$17</f>
        <v>30</v>
      </c>
      <c r="AC78" t="str">
        <f>MASTER!H$7</f>
        <v>IMPLANTURI, PROTEZE SI EVALUARE BIOMECANICĂ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Științe inginerești aplicate</v>
      </c>
      <c r="AB79">
        <f>MASTER!C$17</f>
        <v>30</v>
      </c>
      <c r="AC79" t="str">
        <f>MASTER!H$7</f>
        <v>IMPLANTURI, PROTEZE SI EVALUARE BIOMECANICĂ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Științe inginerești aplicate</v>
      </c>
      <c r="AB80">
        <f>MASTER!C$17</f>
        <v>30</v>
      </c>
      <c r="AC80" t="str">
        <f>MASTER!H$7</f>
        <v>IMPLANTURI, PROTEZE SI EVALUARE BIOMECANICĂ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Științe inginerești aplicate</v>
      </c>
      <c r="AB81">
        <f>MASTER!C$17</f>
        <v>30</v>
      </c>
      <c r="AC81" t="str">
        <f>MASTER!H$7</f>
        <v>IMPLANTURI, PROTEZE SI EVALUARE BIOMECANICĂ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Științe inginerești aplicate</v>
      </c>
      <c r="AB82">
        <f>MASTER!C$17</f>
        <v>30</v>
      </c>
      <c r="AC82" t="str">
        <f>MASTER!H$7</f>
        <v>IMPLANTURI, PROTEZE SI EVALUARE BIOMECANICĂ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Științe inginerești aplicate</v>
      </c>
      <c r="AB83">
        <f>MASTER!C$17</f>
        <v>30</v>
      </c>
      <c r="AC83" t="str">
        <f>MASTER!H$7</f>
        <v>IMPLANTURI, PROTEZE SI EVALUARE BIOMECANICĂ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Științe inginerești aplicate</v>
      </c>
      <c r="AB84">
        <f>MASTER!C$17</f>
        <v>30</v>
      </c>
      <c r="AC84" t="str">
        <f>MASTER!H$7</f>
        <v>IMPLANTURI, PROTEZE SI EVALUARE BIOMECANICĂ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Științe inginerești aplicate</v>
      </c>
      <c r="AB85">
        <f>MASTER!C$17</f>
        <v>30</v>
      </c>
      <c r="AC85" t="str">
        <f>MASTER!H$7</f>
        <v>IMPLANTURI, PROTEZE SI EVALUARE BIOMECANICĂ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Științe inginerești aplicate</v>
      </c>
      <c r="AB86">
        <f>MASTER!C$17</f>
        <v>30</v>
      </c>
      <c r="AC86" t="str">
        <f>MASTER!H$7</f>
        <v>IMPLANTURI, PROTEZE SI EVALUARE BIOMECANICĂ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Științe inginerești aplicate</v>
      </c>
      <c r="AB87">
        <f>MASTER!C$17</f>
        <v>30</v>
      </c>
      <c r="AC87" t="str">
        <f>MASTER!H$7</f>
        <v>IMPLANTURI, PROTEZE SI EVALUARE BIOMECANICĂ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Științe inginerești aplicate</v>
      </c>
      <c r="AB88">
        <f>MASTER!C$17</f>
        <v>30</v>
      </c>
      <c r="AC88" t="str">
        <f>MASTER!H$7</f>
        <v>IMPLANTURI, PROTEZE SI EVALUARE BIOMECANICĂ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Coperta</vt:lpstr>
      <vt:lpstr>MASTER</vt:lpstr>
      <vt:lpstr>Date sintetice</vt:lpstr>
      <vt:lpstr>Materii</vt:lpstr>
      <vt:lpstr>Coperta!Print_Area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2023-07-18T08:30:31Z</cp:lastPrinted>
  <dcterms:created xsi:type="dcterms:W3CDTF">2005-09-25T13:40:53Z</dcterms:created>
  <dcterms:modified xsi:type="dcterms:W3CDTF">2023-07-18T08:30:54Z</dcterms:modified>
</cp:coreProperties>
</file>