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79" i="14" l="1"/>
  <c r="Y40" i="14"/>
  <c r="Y73" i="14" l="1"/>
  <c r="Y70" i="14"/>
  <c r="Y67" i="14"/>
  <c r="M37" i="14"/>
  <c r="M156" i="14"/>
  <c r="M153" i="14"/>
  <c r="Y118" i="14"/>
  <c r="Y115" i="14"/>
  <c r="M25" i="14" l="1"/>
  <c r="M76" i="14"/>
  <c r="M73" i="14"/>
  <c r="M70" i="14"/>
  <c r="M67" i="14"/>
  <c r="Y37" i="14"/>
  <c r="Y34" i="14"/>
  <c r="Y31" i="14"/>
  <c r="Y28" i="14"/>
  <c r="Y25" i="14"/>
  <c r="M34" i="14"/>
  <c r="M31" i="14"/>
  <c r="M28"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11"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C8" i="18"/>
  <c r="AD8" i="18"/>
  <c r="AE8" i="18"/>
  <c r="AF8" i="18"/>
  <c r="B9" i="18"/>
  <c r="C9" i="18"/>
  <c r="H9" i="18"/>
  <c r="I9" i="18"/>
  <c r="J9" i="18"/>
  <c r="K9" i="18"/>
  <c r="L9" i="18"/>
  <c r="M9" i="18"/>
  <c r="N9" i="18"/>
  <c r="Q9" i="18"/>
  <c r="S9" i="18"/>
  <c r="U9" i="18"/>
  <c r="AB9" i="18"/>
  <c r="AC9" i="18"/>
  <c r="AD9" i="18"/>
  <c r="AE9" i="18"/>
  <c r="AF9" i="18"/>
  <c r="B10" i="18"/>
  <c r="C10" i="18"/>
  <c r="H10" i="18"/>
  <c r="I10" i="18"/>
  <c r="J10" i="18"/>
  <c r="K10" i="18"/>
  <c r="L10" i="18"/>
  <c r="M10" i="18"/>
  <c r="N10" i="18"/>
  <c r="Q10" i="18"/>
  <c r="S10" i="18"/>
  <c r="U10" i="18"/>
  <c r="AB10" i="18"/>
  <c r="AC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C19" i="18"/>
  <c r="AD19" i="18"/>
  <c r="AE19" i="18"/>
  <c r="AF19" i="18"/>
  <c r="B20" i="18"/>
  <c r="C20" i="18"/>
  <c r="H20" i="18"/>
  <c r="I20" i="18"/>
  <c r="J20" i="18"/>
  <c r="K20" i="18"/>
  <c r="L20" i="18"/>
  <c r="M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C28" i="18"/>
  <c r="H28" i="18"/>
  <c r="I28" i="18"/>
  <c r="J28" i="18"/>
  <c r="K28" i="18"/>
  <c r="L28" i="18"/>
  <c r="M28" i="18"/>
  <c r="N28" i="18"/>
  <c r="Q28" i="18"/>
  <c r="S28" i="18"/>
  <c r="U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C85" i="18"/>
  <c r="AD85" i="18"/>
  <c r="AE85" i="18"/>
  <c r="AF85" i="18"/>
  <c r="AC86" i="18" l="1"/>
  <c r="AC87" i="18"/>
  <c r="AC7" i="18"/>
  <c r="AC6" i="18"/>
  <c r="AC5"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C36" i="18" s="1"/>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35" i="14"/>
  <c r="AG58" i="18" s="1"/>
  <c r="BT513" i="14"/>
  <c r="AG36" i="18" s="1"/>
  <c r="BT511" i="14"/>
  <c r="AG34" i="18" s="1"/>
  <c r="BM503" i="14"/>
  <c r="T26" i="18" s="1"/>
  <c r="U26" i="18"/>
  <c r="BT503" i="14"/>
  <c r="AG26" i="18" s="1"/>
  <c r="BI513" i="14"/>
  <c r="P36" i="18" s="1"/>
  <c r="S36" i="18"/>
  <c r="BM513" i="14"/>
  <c r="T36" i="18" s="1"/>
  <c r="U36" i="18"/>
  <c r="BI503" i="14"/>
  <c r="P26" i="18" s="1"/>
  <c r="S26" i="18"/>
  <c r="BI502" i="14"/>
  <c r="P25" i="18" s="1"/>
  <c r="S25" i="18"/>
  <c r="BM502" i="14"/>
  <c r="T25" i="18" s="1"/>
  <c r="U25" i="18"/>
  <c r="BI501" i="14"/>
  <c r="P24" i="18" s="1"/>
  <c r="S24" i="18"/>
  <c r="BM511" i="14"/>
  <c r="T34" i="18" s="1"/>
  <c r="U34" i="18"/>
  <c r="BM501" i="14"/>
  <c r="T24" i="18" s="1"/>
  <c r="U24" i="18"/>
  <c r="BT501" i="14"/>
  <c r="AG24" i="18" s="1"/>
  <c r="BI511" i="14"/>
  <c r="P34" i="18" s="1"/>
  <c r="S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3" i="14" l="1"/>
  <c r="X36" i="18" s="1"/>
  <c r="BQ503" i="14"/>
  <c r="X26" i="18" s="1"/>
  <c r="BQ501" i="14"/>
  <c r="X24"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BM495" i="14"/>
  <c r="T18" i="18" s="1"/>
  <c r="U18" i="18"/>
  <c r="D18" i="18"/>
  <c r="BT495" i="14"/>
  <c r="AG18" i="18" s="1"/>
  <c r="D17" i="18"/>
  <c r="BT494" i="14"/>
  <c r="AG17" i="18" s="1"/>
  <c r="BI494" i="14"/>
  <c r="P17" i="18" s="1"/>
  <c r="S17" i="18"/>
  <c r="BR484" i="14"/>
  <c r="Y7" i="18" s="1"/>
  <c r="D7" i="18"/>
  <c r="BT484" i="14"/>
  <c r="AG7"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5" i="14"/>
  <c r="X18" i="18" s="1"/>
  <c r="BQ494" i="14"/>
  <c r="X17" i="18" s="1"/>
  <c r="BQ483" i="14"/>
  <c r="X6" i="18" s="1"/>
  <c r="BQ482" i="14"/>
  <c r="X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<sst xmlns="http://schemas.openxmlformats.org/spreadsheetml/2006/main" count="520" uniqueCount="314">
  <si>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</si>
  <si>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</si>
  <si>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</si>
  <si>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</si>
  <si>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</si>
  <si>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</si>
  <si>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</si>
  <si>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</si>
  <si>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</si>
  <si>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</si>
  <si>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</si>
  <si>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</si>
  <si>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</si>
  <si>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</si>
  <si>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</si>
  <si>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</si>
  <si>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</si>
  <si>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</si>
  <si>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</si>
  <si>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</si>
  <si>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</si>
  <si>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</si>
  <si>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</si>
  <si>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</si>
  <si>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</si>
  <si>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</si>
  <si>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</si>
  <si>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</si>
  <si>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</si>
  <si>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</si>
  <si>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</si>
  <si>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</si>
  <si>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</si>
  <si>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</si>
  <si>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</si>
  <si>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</si>
  <si>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</si>
  <si>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</si>
  <si>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</si>
  <si>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</si>
  <si>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</si>
  <si>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</si>
  <si>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</si>
  <si>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</si>
  <si>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</si>
  <si>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</si>
  <si>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</si>
  <si>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</si>
  <si>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</si>
  <si>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</si>
  <si>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</si>
  <si>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</si>
  <si>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</si>
  <si>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</si>
  <si>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</si>
  <si>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</si>
  <si>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</si>
  <si>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</si>
  <si>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</si>
  <si>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</si>
  <si>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</si>
  <si>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</si>
  <si>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</si>
  <si>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</si>
  <si>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</si>
  <si>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</si>
  <si>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</si>
  <si>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</si>
  <si>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</si>
  <si>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</si>
  <si>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</si>
  <si>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</si>
  <si>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</si>
  <si>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</si>
  <si>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</si>
  <si>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</si>
  <si>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</si>
  <si>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</si>
  <si>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</si>
  <si>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</si>
  <si>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</si>
  <si>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</si>
  <si>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</si>
  <si>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</si>
  <si>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</si>
  <si>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</si>
  <si>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</si>
  <si>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</si>
  <si>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</si>
  <si>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</si>
  <si>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</si>
  <si>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</si>
  <si>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</si>
  <si>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</si>
  <si>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</si>
  <si>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</si>
  <si>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</si>
  <si>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</si>
  <si>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</si>
  <si>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</si>
  <si>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</si>
  <si>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</si>
  <si>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</si>
  <si>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</si>
  <si>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</si>
  <si>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</si>
  <si>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</si>
  <si>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</si>
  <si>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</si>
  <si>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</si>
  <si>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</si>
  <si>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</si>
  <si>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</si>
  <si>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</si>
  <si>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</si>
  <si>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</si>
  <si>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</si>
  <si>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</si>
  <si>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</si>
  <si>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</si>
  <si>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</si>
  <si>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</si>
  <si>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</si>
  <si>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</si>
  <si>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</si>
  <si>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</si>
  <si>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</si>
  <si>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</si>
  <si>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</si>
  <si>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</si>
  <si>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</si>
  <si>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</si>
  <si>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</si>
  <si>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</si>
  <si>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</si>
  <si>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</si>
  <si>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</si>
  <si>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</si>
  <si>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</si>
  <si>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</si>
  <si>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</si>
  <si>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</si>
  <si>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</si>
  <si>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</si>
  <si>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</si>
  <si>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</si>
  <si>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</si>
  <si>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</si>
  <si>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</si>
  <si>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</si>
  <si>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</si>
  <si>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</si>
  <si>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</si>
  <si>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</si>
  <si>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</si>
  <si>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</si>
  <si>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</si>
  <si>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</si>
  <si>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</si>
  <si>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</si>
  <si>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</si>
  <si>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</si>
  <si>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</si>
  <si>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</si>
  <si>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</si>
  <si>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</si>
  <si>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</si>
  <si>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</si>
  <si>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</si>
  <si>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</si>
  <si>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</si>
  <si>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</si>
  <si>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</si>
  <si>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</si>
  <si>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</si>
  <si>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</si>
  <si>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</si>
  <si>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</si>
  <si>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</si>
  <si>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</si>
  <si>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</si>
  <si>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</si>
  <si>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</si>
  <si>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</si>
  <si>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</si>
  <si>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</si>
  <si>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</si>
  <si>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</si>
  <si>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</si>
  <si>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</si>
  <si>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</si>
  <si>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</si>
  <si>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</si>
  <si>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</si>
  <si>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</si>
  <si>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</si>
  <si>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</si>
  <si>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</si>
  <si>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</si>
  <si>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</si>
  <si>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</si>
  <si>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</si>
  <si>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</si>
  <si>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</si>
  <si>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</si>
  <si>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</si>
  <si>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</si>
  <si>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</si>
  <si>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</si>
  <si>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</si>
  <si>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</si>
  <si>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</si>
  <si>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</si>
  <si>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</si>
  <si>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</si>
  <si>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</si>
  <si>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</si>
  <si>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</si>
  <si>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</si>
  <si>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</si>
  <si>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</si>
  <si>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</si>
  <si>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</si>
  <si>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</si>
  <si>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</si>
  <si>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</si>
  <si>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</si>
  <si>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</si>
  <si>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</si>
  <si>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</si>
  <si>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</si>
  <si>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</si>
  <si>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</si>
  <si>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</si>
  <si>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</si>
  <si>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</si>
  <si>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</si>
  <si>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</si>
  <si>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</si>
  <si>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</si>
  <si>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</si>
  <si>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</si>
  <si>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</si>
  <si>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</si>
  <si>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</si>
  <si>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</si>
  <si>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</si>
  <si>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</si>
  <si>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</si>
  <si>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</si>
  <si>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</si>
  <si>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</si>
  <si>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</si>
  <si>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</si>
  <si>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</si>
  <si>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</si>
  <si>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</si>
  <si>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</si>
  <si>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</si>
  <si>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</si>
  <si>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</si>
  <si>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</si>
  <si>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</si>
  <si>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</si>
  <si>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</si>
  <si>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</si>
  <si>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Elaborarea lucrării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</si>
  <si>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</si>
  <si>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</si>
  <si>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</si>
  <si>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</si>
  <si>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</si>
  <si>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</si>
  <si>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</si>
  <si>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</si>
  <si>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</si>
  <si>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</si>
  <si>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 xml:space="preserve">Teoria elasticității și plasticității </t>
  </si>
  <si>
    <t>DA</t>
  </si>
  <si>
    <t>Metode numerice în analiza câmpurilor termice și a curgerii fluidelor</t>
  </si>
  <si>
    <t>Mașini unelte avansate</t>
  </si>
  <si>
    <t>Dezvoltare de produs și evaluarea performanțelor</t>
  </si>
  <si>
    <t>PRACTICĂ PROFESIONALĂ 1</t>
  </si>
  <si>
    <t>Metode  numerice de analiză a tensiunilor</t>
  </si>
  <si>
    <t>Oboseala și integritate structurală</t>
  </si>
  <si>
    <t>PRACTICĂ PROFESIONALĂ 2</t>
  </si>
  <si>
    <t>Materiale compozite. Caracterizare și aplicații</t>
  </si>
  <si>
    <t>Tehnici de măsurare și prelucrarea datelor</t>
  </si>
  <si>
    <t>Teorie și aplicații de fabricare aditivă</t>
  </si>
  <si>
    <t>PRACTICĂ PROFESIONALĂ 3</t>
  </si>
  <si>
    <t>PRACTICĂ PROFESIONALĂ 4</t>
  </si>
  <si>
    <t>Practică pentru elaborarea lucrării de disertaţie</t>
  </si>
  <si>
    <t>Examen de disertație</t>
  </si>
  <si>
    <t>Inginerie Mecanică Avansată</t>
  </si>
  <si>
    <t>Științe inginerești</t>
  </si>
  <si>
    <t>Inginerie mecanică, mecatronică, inginerie industrială și management</t>
  </si>
  <si>
    <t>Inginerie Mecanică</t>
  </si>
  <si>
    <t>Facultatea MECANICĂ</t>
  </si>
  <si>
    <t>Conf.univ.dr.ing. Virgil STOICA</t>
  </si>
  <si>
    <t>Misiunea de bază este aceea de a forma ingineri cu competenţe specifice  prin aprofundarea studiilor de licenţă în specializarea aferentă domeniului Inginerie mecanică. 
Pregătirea avansată pregătește studenții pentru abordarea unor problem complexe de proiectare, simulare, modelare și dezvoltare a sistemelor mecanice avansate.
Se urmăreşte, de asemenea, dezvoltarea capacităţilor de cercetare ştiinţifică în domeniul Ingineriei mecanice.</t>
  </si>
  <si>
    <t>1. Cunoştinţe avansate de mecanica solidului
2. Metode numerice de simulare în ingineria mecanică
3. Cunoştinţe privind tehnici de măsurare, control şi asigurarea calităţii
4. Capacităţi de cercetare ştiinţifică</t>
  </si>
  <si>
    <t>1. Îndeplinirea sarcinilor profesionale și a obligațiilor academice, cu respectarea principiilor etice, a conduitei academice și a deontologiei
2. Dezvoltarea capacității de lucru în echipă
3. Cunoașterea şi utilizarea componentelor şi tehnologiilor specifice</t>
  </si>
  <si>
    <t>1. Inginer mecanic-214401
2. Inginer de cercetare în mașini și instalații mecanice-214485
3. Specialist mentenanta mecanica echipamente industrial-214443
4. Cercetator in masini si instalatii mecanice-214484
5.  Expert inginer mecanic-214434
6.  Proiectant inginer mecanic-214434</t>
  </si>
  <si>
    <t>Obiectivele principale constau în dezvoltarea unor abilităţi specifice ingineriei mecanice avansate, caracteristice specialiştilor în Inginerie Mecanică asigurate prin aprofundarea cunoştinţelor din domeniile studiilor de licenţă, dar şi în dezvoltarea capacităţilor de cercetare ştiinţifică bazate pe concepţii moderne, asistate de calculator.</t>
  </si>
  <si>
    <t xml:space="preserve">Etică și integritate academică </t>
  </si>
  <si>
    <t>Opțional 1. Metode statistice in analiza si prelucrarea datelor</t>
  </si>
  <si>
    <t>Opțional 1.Calcul tensorial</t>
  </si>
  <si>
    <t>Opțional 1. Metode statistice in analiza si prelucrarea datelor/Calcul tensorial</t>
  </si>
  <si>
    <t>Opțional 2. Managementul asigurarii calitatii in inginerie</t>
  </si>
  <si>
    <t>Opțional 2. Controlul digital al sistemelor mecanice</t>
  </si>
  <si>
    <t>Opțional 2. Managementul asigurarii calitatii in inginerie/Controlul digital al sistemelor mecanice</t>
  </si>
  <si>
    <t>Voluntariat</t>
  </si>
  <si>
    <t>f</t>
  </si>
  <si>
    <t>Disciplina facultativa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</si>
</sst>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60" fillId="0" borderId="2" xfId="0" applyFont="1" applyBorder="1" applyAlignment="1" applyProtection="1">
      <alignment horizontal="center" vertical="center"/>
      <protection locked="0"/>
    </xf>
    <xf numFmtId="0" fontId="60" fillId="0" borderId="3" xfId="0" applyFont="1" applyBorder="1" applyAlignment="1" applyProtection="1">
      <alignment horizontal="center" vertical="center"/>
      <protection locked="0"/>
    </xf>
    <xf numFmtId="0" fontId="60" fillId="0" borderId="4" xfId="0" applyFont="1" applyBorder="1" applyAlignment="1" applyProtection="1">
      <alignment horizontal="center" vertical="center"/>
      <protection locked="0"/>
    </xf>
    <xf numFmtId="0" fontId="60" fillId="0" borderId="5" xfId="0" applyFont="1" applyBorder="1" applyAlignment="1" applyProtection="1">
      <alignment horizontal="center" vertical="center"/>
      <protection locked="0"/>
    </xf>
    <xf numFmtId="0" fontId="60" fillId="0" borderId="2" xfId="0" applyFont="1" applyFill="1" applyBorder="1" applyAlignment="1" applyProtection="1">
      <alignment horizontal="center" vertical="center" wrapText="1"/>
      <protection locked="0"/>
    </xf>
    <xf numFmtId="0" fontId="77" fillId="0" borderId="6" xfId="0" applyFont="1" applyFill="1" applyBorder="1" applyAlignment="1" applyProtection="1">
      <alignment horizontal="center" vertical="center" wrapText="1"/>
      <protection locked="0"/>
    </xf>
    <xf numFmtId="0" fontId="63" fillId="0" borderId="2" xfId="0" applyFont="1" applyFill="1" applyBorder="1" applyAlignment="1" applyProtection="1">
      <alignment horizontal="center" vertical="center" wrapText="1"/>
      <protection locked="0"/>
    </xf>
    <xf numFmtId="0" fontId="63" fillId="0" borderId="3" xfId="0" applyFont="1" applyFill="1" applyBorder="1" applyAlignment="1" applyProtection="1">
      <alignment horizontal="center" vertical="center" wrapText="1"/>
      <protection locked="0"/>
    </xf>
    <xf numFmtId="0" fontId="63" fillId="0" borderId="4" xfId="0" applyFont="1" applyFill="1" applyBorder="1" applyAlignment="1" applyProtection="1">
      <alignment horizontal="center" vertical="center" wrapText="1"/>
      <protection locked="0"/>
    </xf>
    <xf numFmtId="0" fontId="63" fillId="0" borderId="5"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60"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28" zoomScale="90" zoomScaleNormal="70" zoomScaleSheetLayoutView="90" zoomScalePageLayoutView="70" workbookViewId="0">
      <selection activeCell="A69" sqref="A69:Y70"/>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1" t="s">
        <v>297</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2" t="s">
        <v>293</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2" t="s">
        <v>294</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2" t="s">
        <v>295</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2" t="s">
        <v>296</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2" t="s">
        <v>296</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248</v>
      </c>
      <c r="C48" s="393"/>
      <c r="D48" s="393"/>
      <c r="E48" s="393"/>
      <c r="F48" s="393"/>
      <c r="G48" s="393"/>
      <c r="H48" s="393"/>
      <c r="I48" s="393"/>
      <c r="J48" s="21"/>
      <c r="K48" s="21"/>
      <c r="L48" s="21"/>
      <c r="N48" s="385" t="s">
        <v>298</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
      <c r="A60" s="375" t="s">
        <v>299</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24.75"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33" customHeight="1" x14ac:dyDescent="0.2">
      <c r="A64" s="389" t="s">
        <v>303</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0.7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
      <c r="A69" s="383" t="s">
        <v>300</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42.75" customHeight="1" x14ac:dyDescent="0.3">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25" x14ac:dyDescent="0.3">
      <c r="A73" s="379" t="s">
        <v>301</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25.5" customHeight="1" x14ac:dyDescent="0.3">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75" customHeight="1" x14ac:dyDescent="0.25">
      <c r="A78" s="15"/>
      <c r="B78" s="375" t="s">
        <v>302</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75"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62" zoomScale="80" zoomScaleNormal="80" zoomScaleSheetLayoutView="80" zoomScalePageLayoutView="40" workbookViewId="0">
      <selection activeCell="N50" sqref="N50:Y51"/>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Inginerie Mecanică Avansată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434</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2023-2025</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25">
      <c r="A21" s="449" t="str">
        <f>IF(ISBLANK($G$17),"ANUL I",CONCATENATE("ANUL I (20",$G$17,-20,$G$17+1,")"))</f>
        <v>ANUL I (2023-2024)</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
      <c r="A23" s="395" t="s">
        <v>28</v>
      </c>
      <c r="B23" s="450" t="s">
        <v>277</v>
      </c>
      <c r="C23" s="451"/>
      <c r="D23" s="451"/>
      <c r="E23" s="451"/>
      <c r="F23" s="451"/>
      <c r="G23" s="451"/>
      <c r="H23" s="451"/>
      <c r="I23" s="451"/>
      <c r="J23" s="451"/>
      <c r="K23" s="451"/>
      <c r="L23" s="451"/>
      <c r="M23" s="452"/>
      <c r="N23" s="451" t="s">
        <v>283</v>
      </c>
      <c r="O23" s="451"/>
      <c r="P23" s="451"/>
      <c r="Q23" s="451"/>
      <c r="R23" s="451"/>
      <c r="S23" s="451"/>
      <c r="T23" s="451"/>
      <c r="U23" s="451"/>
      <c r="V23" s="451"/>
      <c r="W23" s="451"/>
      <c r="X23" s="451"/>
      <c r="Y23" s="452"/>
    </row>
    <row r="24" spans="1:25" s="100" customFormat="1" ht="21" customHeight="1" x14ac:dyDescent="0.2">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6"/>
      <c r="B25" s="403" t="str">
        <f>IF(ISBLANK(B23),"",CONCATENATE($E$17,$F$17,".",$G$17,".","0",RIGHT($B$22,1),".",RIGHT(L25,1),$A23,IF(COUNTIFS(B23,"*op?ional*")=1,"-ij","")))</f>
        <v>M434.23.01.A1</v>
      </c>
      <c r="C25" s="404"/>
      <c r="D25" s="405"/>
      <c r="E25" s="359">
        <v>6</v>
      </c>
      <c r="F25" s="359" t="s">
        <v>4</v>
      </c>
      <c r="G25" s="360">
        <v>28</v>
      </c>
      <c r="H25" s="361">
        <v>28</v>
      </c>
      <c r="I25" s="361">
        <v>0</v>
      </c>
      <c r="J25" s="361">
        <v>0</v>
      </c>
      <c r="K25" s="362">
        <v>0</v>
      </c>
      <c r="L25" s="363" t="s">
        <v>278</v>
      </c>
      <c r="M25" s="364">
        <f>E25*25-G25-H25-I25-J25</f>
        <v>94</v>
      </c>
      <c r="N25" s="403" t="str">
        <f>IF(ISBLANK(N23),"",CONCATENATE($E$17,$F$17,".",$G$17,".","0",RIGHT($N$22,1),".",RIGHT(X25,1),$A23,IF(COUNTIFS(N23,"*op?ional*")=1,"-ij","")))</f>
        <v>M434.23.02.A1</v>
      </c>
      <c r="O25" s="404"/>
      <c r="P25" s="405"/>
      <c r="Q25" s="359">
        <v>6</v>
      </c>
      <c r="R25" s="359" t="s">
        <v>4</v>
      </c>
      <c r="S25" s="360">
        <v>28</v>
      </c>
      <c r="T25" s="361">
        <v>0</v>
      </c>
      <c r="U25" s="361">
        <v>28</v>
      </c>
      <c r="V25" s="361">
        <v>0</v>
      </c>
      <c r="W25" s="362">
        <v>0</v>
      </c>
      <c r="X25" s="363" t="s">
        <v>278</v>
      </c>
      <c r="Y25" s="364">
        <f>Q25*25-S25-T25-U25-V25</f>
        <v>94</v>
      </c>
    </row>
    <row r="26" spans="1:25" s="100" customFormat="1" ht="21" customHeight="1" thickTop="1" x14ac:dyDescent="0.2">
      <c r="A26" s="394" t="s">
        <v>29</v>
      </c>
      <c r="B26" s="450" t="s">
        <v>279</v>
      </c>
      <c r="C26" s="451"/>
      <c r="D26" s="451"/>
      <c r="E26" s="451"/>
      <c r="F26" s="451"/>
      <c r="G26" s="451"/>
      <c r="H26" s="451"/>
      <c r="I26" s="451"/>
      <c r="J26" s="451"/>
      <c r="K26" s="451"/>
      <c r="L26" s="451"/>
      <c r="M26" s="452"/>
      <c r="N26" s="451" t="s">
        <v>283</v>
      </c>
      <c r="O26" s="451"/>
      <c r="P26" s="451"/>
      <c r="Q26" s="451"/>
      <c r="R26" s="451"/>
      <c r="S26" s="451"/>
      <c r="T26" s="451"/>
      <c r="U26" s="451"/>
      <c r="V26" s="451"/>
      <c r="W26" s="451"/>
      <c r="X26" s="451"/>
      <c r="Y26" s="452"/>
    </row>
    <row r="27" spans="1:25" s="100" customFormat="1" ht="21" customHeight="1" x14ac:dyDescent="0.2">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6"/>
      <c r="B28" s="403" t="str">
        <f>IF(ISBLANK(B26),"",CONCATENATE($E$17,$F$17,".",$G$17,".","0",RIGHT($B$22,1),".",RIGHT(L28,1),$A26,IF(COUNTIFS(B26,"*op?ional*")=1,"-ij","")))</f>
        <v>M434.23.01.A2</v>
      </c>
      <c r="C28" s="404"/>
      <c r="D28" s="405"/>
      <c r="E28" s="359">
        <v>6</v>
      </c>
      <c r="F28" s="359" t="s">
        <v>4</v>
      </c>
      <c r="G28" s="360">
        <v>28</v>
      </c>
      <c r="H28" s="361">
        <v>0</v>
      </c>
      <c r="I28" s="361">
        <v>14</v>
      </c>
      <c r="J28" s="361">
        <v>14</v>
      </c>
      <c r="K28" s="362">
        <v>0</v>
      </c>
      <c r="L28" s="363" t="s">
        <v>278</v>
      </c>
      <c r="M28" s="364">
        <f>E28*25-G28-H28-I28-J28</f>
        <v>94</v>
      </c>
      <c r="N28" s="403" t="str">
        <f>IF(ISBLANK(N26),"",CONCATENATE($E$17,$F$17,".",$G$17,".","0",RIGHT($N$22,1),".",RIGHT(X28,1),$A26,IF(COUNTIFS(N26,"*op?ional*")=1,"-ij","")))</f>
        <v>M434.23.02.A2</v>
      </c>
      <c r="O28" s="404"/>
      <c r="P28" s="405"/>
      <c r="Q28" s="359">
        <v>3</v>
      </c>
      <c r="R28" s="359" t="s">
        <v>267</v>
      </c>
      <c r="S28" s="360">
        <v>0</v>
      </c>
      <c r="T28" s="361">
        <v>0</v>
      </c>
      <c r="U28" s="361">
        <v>0</v>
      </c>
      <c r="V28" s="361">
        <v>14</v>
      </c>
      <c r="W28" s="362">
        <v>0</v>
      </c>
      <c r="X28" s="363" t="s">
        <v>278</v>
      </c>
      <c r="Y28" s="364">
        <f>Q28*25-S28-T28-U28-V28</f>
        <v>61</v>
      </c>
    </row>
    <row r="29" spans="1:25" s="100" customFormat="1" ht="21" customHeight="1" thickTop="1" x14ac:dyDescent="0.2">
      <c r="A29" s="394" t="s">
        <v>30</v>
      </c>
      <c r="B29" s="450" t="s">
        <v>280</v>
      </c>
      <c r="C29" s="451"/>
      <c r="D29" s="451"/>
      <c r="E29" s="451"/>
      <c r="F29" s="451"/>
      <c r="G29" s="451"/>
      <c r="H29" s="451"/>
      <c r="I29" s="451"/>
      <c r="J29" s="451"/>
      <c r="K29" s="451"/>
      <c r="L29" s="451"/>
      <c r="M29" s="452"/>
      <c r="N29" s="451" t="s">
        <v>307</v>
      </c>
      <c r="O29" s="451"/>
      <c r="P29" s="451"/>
      <c r="Q29" s="451"/>
      <c r="R29" s="451"/>
      <c r="S29" s="451"/>
      <c r="T29" s="451"/>
      <c r="U29" s="451"/>
      <c r="V29" s="451"/>
      <c r="W29" s="451"/>
      <c r="X29" s="451"/>
      <c r="Y29" s="452"/>
    </row>
    <row r="30" spans="1:25" s="100" customFormat="1" ht="21" customHeight="1" x14ac:dyDescent="0.2">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6"/>
      <c r="B31" s="403" t="str">
        <f>IF(ISBLANK(B29),"",CONCATENATE($E$17,$F$17,".",$G$17,".","0",RIGHT($B$22,1),".",RIGHT(L31,1),$A29,IF(COUNTIFS(B29,"*op?ional*")=1,"-ij","")))</f>
        <v>M434.23.01.V3</v>
      </c>
      <c r="C31" s="404"/>
      <c r="D31" s="405"/>
      <c r="E31" s="359">
        <v>6</v>
      </c>
      <c r="F31" s="359" t="s">
        <v>4</v>
      </c>
      <c r="G31" s="360">
        <v>28</v>
      </c>
      <c r="H31" s="361">
        <v>0</v>
      </c>
      <c r="I31" s="361">
        <v>28</v>
      </c>
      <c r="J31" s="361">
        <v>0</v>
      </c>
      <c r="K31" s="362">
        <v>0</v>
      </c>
      <c r="L31" s="363" t="s">
        <v>44</v>
      </c>
      <c r="M31" s="364">
        <f>E31*25-G31-H31-I31-J31</f>
        <v>94</v>
      </c>
      <c r="N31" s="403" t="str">
        <f>IF(ISBLANK(N29),"",CONCATENATE($E$17,$F$17,".",$G$17,".","0",RIGHT($N$22,1),".",RIGHT(X31,1),$A29,IF(COUNTIFS(N29,"*op?ional*")=1,"-ij","")))</f>
        <v>M434.23.02.V3-ij</v>
      </c>
      <c r="O31" s="404"/>
      <c r="P31" s="405"/>
      <c r="Q31" s="359">
        <v>6</v>
      </c>
      <c r="R31" s="359" t="s">
        <v>4</v>
      </c>
      <c r="S31" s="360">
        <v>28</v>
      </c>
      <c r="T31" s="361">
        <v>0</v>
      </c>
      <c r="U31" s="361">
        <v>14</v>
      </c>
      <c r="V31" s="361">
        <v>14</v>
      </c>
      <c r="W31" s="362">
        <v>0</v>
      </c>
      <c r="X31" s="363" t="s">
        <v>44</v>
      </c>
      <c r="Y31" s="364">
        <f>Q31*25-S31-T31-U31-V31</f>
        <v>94</v>
      </c>
    </row>
    <row r="32" spans="1:25" s="100" customFormat="1" ht="21" customHeight="1" thickTop="1" x14ac:dyDescent="0.2">
      <c r="A32" s="394" t="s">
        <v>31</v>
      </c>
      <c r="B32" s="450" t="s">
        <v>281</v>
      </c>
      <c r="C32" s="451"/>
      <c r="D32" s="451"/>
      <c r="E32" s="451"/>
      <c r="F32" s="451"/>
      <c r="G32" s="451"/>
      <c r="H32" s="451"/>
      <c r="I32" s="451"/>
      <c r="J32" s="451"/>
      <c r="K32" s="451"/>
      <c r="L32" s="451"/>
      <c r="M32" s="452"/>
      <c r="N32" s="451" t="s">
        <v>284</v>
      </c>
      <c r="O32" s="451"/>
      <c r="P32" s="451"/>
      <c r="Q32" s="451"/>
      <c r="R32" s="451"/>
      <c r="S32" s="451"/>
      <c r="T32" s="451"/>
      <c r="U32" s="451"/>
      <c r="V32" s="451"/>
      <c r="W32" s="451"/>
      <c r="X32" s="451"/>
      <c r="Y32" s="452"/>
    </row>
    <row r="33" spans="1:25" s="100" customFormat="1" ht="21" customHeight="1" x14ac:dyDescent="0.2">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6"/>
      <c r="B34" s="403" t="str">
        <f>IF(ISBLANK(B32),"",CONCATENATE($E$17,$F$17,".",$G$17,".","0",RIGHT($B$22,1),".",RIGHT(L34,1),$A32,IF(COUNTIFS(B32,"*op?ional*")=1,"-ij","")))</f>
        <v>M434.23.01.S4</v>
      </c>
      <c r="C34" s="404"/>
      <c r="D34" s="405"/>
      <c r="E34" s="359">
        <v>5</v>
      </c>
      <c r="F34" s="359" t="s">
        <v>4</v>
      </c>
      <c r="G34" s="360">
        <v>28</v>
      </c>
      <c r="H34" s="361">
        <v>0</v>
      </c>
      <c r="I34" s="361">
        <v>0</v>
      </c>
      <c r="J34" s="361">
        <v>14</v>
      </c>
      <c r="K34" s="362">
        <v>0</v>
      </c>
      <c r="L34" s="363" t="s">
        <v>152</v>
      </c>
      <c r="M34" s="364">
        <f>E34*25-G34-H34-I34-J34</f>
        <v>83</v>
      </c>
      <c r="N34" s="403" t="str">
        <f>IF(ISBLANK(N32),"",CONCATENATE($E$17,$F$17,".",$G$17,".","0",RIGHT($N$22,1),".",RIGHT(X34,1),$A32,IF(COUNTIFS(N32,"*op?ional*")=1,"-ij","")))</f>
        <v>M434.23.02.S4</v>
      </c>
      <c r="O34" s="404"/>
      <c r="P34" s="405"/>
      <c r="Q34" s="359">
        <v>6</v>
      </c>
      <c r="R34" s="359" t="s">
        <v>4</v>
      </c>
      <c r="S34" s="360">
        <v>28</v>
      </c>
      <c r="T34" s="361">
        <v>0</v>
      </c>
      <c r="U34" s="361">
        <v>28</v>
      </c>
      <c r="V34" s="361">
        <v>0</v>
      </c>
      <c r="W34" s="362">
        <v>0</v>
      </c>
      <c r="X34" s="363" t="s">
        <v>152</v>
      </c>
      <c r="Y34" s="364">
        <f>Q34*25-S34-T34-U34-V34</f>
        <v>94</v>
      </c>
    </row>
    <row r="35" spans="1:25" s="100" customFormat="1" ht="21" customHeight="1" thickTop="1" x14ac:dyDescent="0.2">
      <c r="A35" s="394" t="s">
        <v>32</v>
      </c>
      <c r="B35" s="450" t="s">
        <v>282</v>
      </c>
      <c r="C35" s="451"/>
      <c r="D35" s="451"/>
      <c r="E35" s="451"/>
      <c r="F35" s="451"/>
      <c r="G35" s="451"/>
      <c r="H35" s="451"/>
      <c r="I35" s="451"/>
      <c r="J35" s="451"/>
      <c r="K35" s="451"/>
      <c r="L35" s="451"/>
      <c r="M35" s="452"/>
      <c r="N35" s="451" t="s">
        <v>304</v>
      </c>
      <c r="O35" s="451"/>
      <c r="P35" s="451"/>
      <c r="Q35" s="451"/>
      <c r="R35" s="451"/>
      <c r="S35" s="451"/>
      <c r="T35" s="451"/>
      <c r="U35" s="451"/>
      <c r="V35" s="451"/>
      <c r="W35" s="451"/>
      <c r="X35" s="451"/>
      <c r="Y35" s="452"/>
    </row>
    <row r="36" spans="1:25" s="100" customFormat="1" ht="21" customHeight="1" x14ac:dyDescent="0.2">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6"/>
      <c r="B37" s="403" t="str">
        <f>IF(ISBLANK(B35),"",CONCATENATE($E$17,$F$17,".",$G$17,".","0",RIGHT($B$22,1),".",RIGHT(L37,1),$A35,IF(COUNTIFS(B35,"*op?ional*")=1,"-ij","")))</f>
        <v>M434.23.01.S5</v>
      </c>
      <c r="C37" s="404"/>
      <c r="D37" s="405"/>
      <c r="E37" s="365">
        <v>7</v>
      </c>
      <c r="F37" s="365" t="s">
        <v>140</v>
      </c>
      <c r="G37" s="366">
        <v>0</v>
      </c>
      <c r="H37" s="367">
        <v>0</v>
      </c>
      <c r="I37" s="367">
        <v>0</v>
      </c>
      <c r="J37" s="367">
        <v>0</v>
      </c>
      <c r="K37" s="368">
        <v>154</v>
      </c>
      <c r="L37" s="365" t="s">
        <v>152</v>
      </c>
      <c r="M37" s="364">
        <f>E37*25-G37-H37-I37-J37-K37</f>
        <v>21</v>
      </c>
      <c r="N37" s="403" t="str">
        <f>IF(ISBLANK(N35),"",CONCATENATE($E$17,$F$17,".",$G$17,".","0",RIGHT($N$22,1),".",RIGHT(X37,1),$A35,IF(COUNTIFS(N35,"*op?ional*")=1,"-ij","")))</f>
        <v>M434.23.02.S5</v>
      </c>
      <c r="O37" s="404"/>
      <c r="P37" s="405"/>
      <c r="Q37" s="359">
        <v>2</v>
      </c>
      <c r="R37" s="359" t="s">
        <v>267</v>
      </c>
      <c r="S37" s="360">
        <v>14</v>
      </c>
      <c r="T37" s="361">
        <v>7</v>
      </c>
      <c r="U37" s="361">
        <v>0</v>
      </c>
      <c r="V37" s="361">
        <v>0</v>
      </c>
      <c r="W37" s="362">
        <v>0</v>
      </c>
      <c r="X37" s="363" t="s">
        <v>152</v>
      </c>
      <c r="Y37" s="364">
        <f>Q37*25-S37-T37-U37-V37</f>
        <v>29</v>
      </c>
    </row>
    <row r="38" spans="1:25" s="100" customFormat="1" ht="21" customHeight="1" thickTop="1" x14ac:dyDescent="0.2">
      <c r="A38" s="394" t="s">
        <v>50</v>
      </c>
      <c r="B38" s="450"/>
      <c r="C38" s="451"/>
      <c r="D38" s="451"/>
      <c r="E38" s="451"/>
      <c r="F38" s="451"/>
      <c r="G38" s="451"/>
      <c r="H38" s="451"/>
      <c r="I38" s="451"/>
      <c r="J38" s="451"/>
      <c r="K38" s="451"/>
      <c r="L38" s="451"/>
      <c r="M38" s="452"/>
      <c r="N38" s="451" t="s">
        <v>285</v>
      </c>
      <c r="O38" s="451"/>
      <c r="P38" s="451"/>
      <c r="Q38" s="451"/>
      <c r="R38" s="451"/>
      <c r="S38" s="451"/>
      <c r="T38" s="451"/>
      <c r="U38" s="451"/>
      <c r="V38" s="451"/>
      <c r="W38" s="451"/>
      <c r="X38" s="451"/>
      <c r="Y38" s="452"/>
    </row>
    <row r="39" spans="1:25" s="100" customFormat="1" ht="21" customHeight="1" x14ac:dyDescent="0.2">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M434.23.02.S6</v>
      </c>
      <c r="O40" s="404"/>
      <c r="P40" s="405"/>
      <c r="Q40" s="359">
        <v>7</v>
      </c>
      <c r="R40" s="359" t="s">
        <v>140</v>
      </c>
      <c r="S40" s="360">
        <v>0</v>
      </c>
      <c r="T40" s="361">
        <v>0</v>
      </c>
      <c r="U40" s="361">
        <v>0</v>
      </c>
      <c r="V40" s="361">
        <v>0</v>
      </c>
      <c r="W40" s="362">
        <v>161</v>
      </c>
      <c r="X40" s="363" t="s">
        <v>152</v>
      </c>
      <c r="Y40" s="364">
        <f>Q40*25-S40-T40-U40-V40-W40</f>
        <v>14</v>
      </c>
    </row>
    <row r="41" spans="1:25" s="100" customFormat="1" ht="21" customHeight="1" thickTop="1" x14ac:dyDescent="0.2">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
      <c r="A50" s="394" t="s">
        <v>238</v>
      </c>
      <c r="B50" s="416"/>
      <c r="C50" s="417"/>
      <c r="D50" s="417"/>
      <c r="E50" s="417"/>
      <c r="F50" s="417"/>
      <c r="G50" s="417"/>
      <c r="H50" s="417"/>
      <c r="I50" s="417"/>
      <c r="J50" s="417"/>
      <c r="K50" s="417"/>
      <c r="L50" s="417"/>
      <c r="M50" s="418"/>
      <c r="N50" s="416" t="s">
        <v>313</v>
      </c>
      <c r="O50" s="417"/>
      <c r="P50" s="417"/>
      <c r="Q50" s="417"/>
      <c r="R50" s="417"/>
      <c r="S50" s="417"/>
      <c r="T50" s="417"/>
      <c r="U50" s="417"/>
      <c r="V50" s="417"/>
      <c r="W50" s="417"/>
      <c r="X50" s="417"/>
      <c r="Y50" s="418"/>
    </row>
    <row r="51" spans="1:49" s="100" customFormat="1" ht="21" customHeight="1" x14ac:dyDescent="0.2">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396"/>
      <c r="B52" s="403" t="str">
        <f>IF(ISBLANK(B50),"",CONCATENATE($E$17,$F$17,".",$G$17,".","0",RIGHT($B$22,1),".",RIGHT(L52,1),$A50,"-ij"))</f>
        <v/>
      </c>
      <c r="C52" s="404"/>
      <c r="D52" s="405"/>
      <c r="E52" s="344"/>
      <c r="F52" s="344"/>
      <c r="G52" s="345"/>
      <c r="H52" s="346"/>
      <c r="I52" s="346"/>
      <c r="J52" s="346"/>
      <c r="K52" s="347"/>
      <c r="L52" s="344"/>
      <c r="M52" s="348"/>
      <c r="N52" s="403" t="str">
        <f>IF(ISBLANK(N50),"",CONCATENATE($E$17,$F$17,".",$G$17,".","0",RIGHT($N$22,1),".",RIGHT(X52,1),$A50,"-ij"))</f>
        <v>M434.23.02.f10-ij</v>
      </c>
      <c r="O52" s="404"/>
      <c r="P52" s="405"/>
      <c r="Q52" s="349">
        <v>2</v>
      </c>
      <c r="R52" s="349" t="s">
        <v>140</v>
      </c>
      <c r="S52" s="350">
        <v>0</v>
      </c>
      <c r="T52" s="351">
        <v>0</v>
      </c>
      <c r="U52" s="351">
        <v>28</v>
      </c>
      <c r="V52" s="351">
        <v>0</v>
      </c>
      <c r="W52" s="352">
        <v>0</v>
      </c>
      <c r="X52" s="344" t="s">
        <v>312</v>
      </c>
      <c r="Y52" s="348">
        <v>22</v>
      </c>
    </row>
    <row r="53" spans="1:49" s="70" customFormat="1" ht="21" customHeight="1" thickTop="1" x14ac:dyDescent="0.2">
      <c r="A53" s="453" t="s">
        <v>48</v>
      </c>
      <c r="B53" s="101" t="s">
        <v>52</v>
      </c>
      <c r="C53" s="102"/>
      <c r="D53" s="102"/>
      <c r="E53" s="433">
        <f>SUM(G25:J25,G28:J28,G31:J31,G34:J34,G37:J37,G40:J40,G43:J43,G46:J46,G49:J49)</f>
        <v>210</v>
      </c>
      <c r="F53" s="434"/>
      <c r="G53" s="103" t="s">
        <v>5</v>
      </c>
      <c r="H53" s="104"/>
      <c r="I53" s="104"/>
      <c r="J53" s="104"/>
      <c r="K53" s="104"/>
      <c r="L53" s="105"/>
      <c r="M53" s="106">
        <f>SUM(M25,M28,M31,M34,M37,M40,M43,M46,M49)</f>
        <v>386</v>
      </c>
      <c r="N53" s="101" t="s">
        <v>52</v>
      </c>
      <c r="O53" s="102"/>
      <c r="P53" s="102"/>
      <c r="Q53" s="433">
        <f>SUM(S25:V25,S28:V28,S31:V31,S34:V34,S37:V37,S40:V40,S43:V43,S46:V46,S49:V49)</f>
        <v>203</v>
      </c>
      <c r="R53" s="434"/>
      <c r="S53" s="103" t="s">
        <v>5</v>
      </c>
      <c r="T53" s="104"/>
      <c r="U53" s="104"/>
      <c r="V53" s="104"/>
      <c r="W53" s="104"/>
      <c r="X53" s="105"/>
      <c r="Y53" s="112">
        <f>SUM(Y25,Y28,Y31,Y34,Y37,Y40,Y43,Y46,Y49)</f>
        <v>386</v>
      </c>
    </row>
    <row r="54" spans="1:49" s="70" customFormat="1" ht="21" customHeight="1" x14ac:dyDescent="0.2">
      <c r="A54" s="454"/>
      <c r="B54" s="443" t="s">
        <v>53</v>
      </c>
      <c r="C54" s="444"/>
      <c r="D54" s="444"/>
      <c r="E54" s="431">
        <f>SUM(G25:K25,G28:K28,G31:K31,G34:K34,G37:K37,G40:K40,G43:K43,G46:K46,G49:K49)</f>
        <v>364</v>
      </c>
      <c r="F54" s="432"/>
      <c r="G54" s="443" t="s">
        <v>55</v>
      </c>
      <c r="H54" s="444"/>
      <c r="I54" s="444"/>
      <c r="J54" s="107"/>
      <c r="K54" s="107"/>
      <c r="L54" s="108"/>
      <c r="M54" s="109">
        <f>E54+M53</f>
        <v>750</v>
      </c>
      <c r="N54" s="443" t="s">
        <v>53</v>
      </c>
      <c r="O54" s="444"/>
      <c r="P54" s="444"/>
      <c r="Q54" s="431">
        <f>SUM(S25:W25,S28:W28,S31:W31,S34:W34,S37:W37,S40:W40,S43:W43,S46:W46,S49:W49)</f>
        <v>364</v>
      </c>
      <c r="R54" s="432"/>
      <c r="S54" s="443" t="s">
        <v>55</v>
      </c>
      <c r="T54" s="444"/>
      <c r="U54" s="444"/>
      <c r="V54" s="110"/>
      <c r="W54" s="110"/>
      <c r="X54" s="111"/>
      <c r="Y54" s="112">
        <f>Q54+Y53</f>
        <v>750</v>
      </c>
    </row>
    <row r="55" spans="1:49" s="70" customFormat="1" ht="21" customHeight="1" thickBot="1" x14ac:dyDescent="0.25">
      <c r="A55" s="473"/>
      <c r="B55" s="494" t="s">
        <v>6</v>
      </c>
      <c r="C55" s="495"/>
      <c r="D55" s="113"/>
      <c r="E55" s="429">
        <f>SUM(E25,E28,E31,E34,E37,E40,E43,E46,E49)</f>
        <v>30</v>
      </c>
      <c r="F55" s="430"/>
      <c r="G55" s="465" t="s">
        <v>7</v>
      </c>
      <c r="H55" s="466"/>
      <c r="I55" s="466"/>
      <c r="J55" s="466"/>
      <c r="K55" s="466"/>
      <c r="L55" s="492" t="str">
        <f>AZ419</f>
        <v>4E,0D,1C</v>
      </c>
      <c r="M55" s="493"/>
      <c r="N55" s="496" t="s">
        <v>6</v>
      </c>
      <c r="O55" s="497"/>
      <c r="P55" s="114"/>
      <c r="Q55" s="429">
        <f>SUM(Q25,Q28,Q31,Q34,Q37,Q40,Q43,Q46,Q49)</f>
        <v>30</v>
      </c>
      <c r="R55" s="430"/>
      <c r="S55" s="465" t="s">
        <v>7</v>
      </c>
      <c r="T55" s="466"/>
      <c r="U55" s="466"/>
      <c r="V55" s="466"/>
      <c r="W55" s="115"/>
      <c r="X55" s="492" t="str">
        <f>AZ420</f>
        <v>3E,2D,1C</v>
      </c>
      <c r="Y55" s="493"/>
    </row>
    <row r="56" spans="1:49" s="70" customFormat="1" ht="21" customHeight="1" thickTop="1" x14ac:dyDescent="0.2">
      <c r="A56" s="453" t="s">
        <v>49</v>
      </c>
      <c r="B56" s="101" t="s">
        <v>52</v>
      </c>
      <c r="C56" s="102"/>
      <c r="D56" s="102"/>
      <c r="E56" s="422">
        <f>SUM(G58:J58)</f>
        <v>15</v>
      </c>
      <c r="F56" s="423"/>
      <c r="G56" s="103" t="s">
        <v>5</v>
      </c>
      <c r="H56" s="104"/>
      <c r="I56" s="104"/>
      <c r="J56" s="104"/>
      <c r="K56" s="104"/>
      <c r="L56" s="105"/>
      <c r="M56" s="116">
        <f>M53/14</f>
        <v>27.571428571428573</v>
      </c>
      <c r="N56" s="101" t="s">
        <v>52</v>
      </c>
      <c r="O56" s="102"/>
      <c r="P56" s="102"/>
      <c r="Q56" s="422">
        <f>SUM(S58:V58)</f>
        <v>14.5</v>
      </c>
      <c r="R56" s="423"/>
      <c r="S56" s="103" t="s">
        <v>5</v>
      </c>
      <c r="T56" s="104"/>
      <c r="U56" s="104"/>
      <c r="V56" s="104"/>
      <c r="W56" s="104"/>
      <c r="X56" s="117"/>
      <c r="Y56" s="118">
        <f>Y53/14</f>
        <v>27.571428571428573</v>
      </c>
    </row>
    <row r="57" spans="1:49" s="70" customFormat="1" ht="21" customHeight="1" x14ac:dyDescent="0.2">
      <c r="A57" s="454"/>
      <c r="B57" s="443" t="s">
        <v>53</v>
      </c>
      <c r="C57" s="444"/>
      <c r="D57" s="444"/>
      <c r="E57" s="424">
        <f>SUM(G58:K58)</f>
        <v>26</v>
      </c>
      <c r="F57" s="425"/>
      <c r="G57" s="443" t="s">
        <v>55</v>
      </c>
      <c r="H57" s="444"/>
      <c r="I57" s="444"/>
      <c r="J57" s="107"/>
      <c r="K57" s="107"/>
      <c r="L57" s="88"/>
      <c r="M57" s="119">
        <f>E57+M56</f>
        <v>53.571428571428569</v>
      </c>
      <c r="N57" s="443" t="s">
        <v>53</v>
      </c>
      <c r="O57" s="444"/>
      <c r="P57" s="444"/>
      <c r="Q57" s="424">
        <f>SUM(S58:W58)</f>
        <v>26</v>
      </c>
      <c r="R57" s="425"/>
      <c r="S57" s="443" t="s">
        <v>55</v>
      </c>
      <c r="T57" s="444"/>
      <c r="U57" s="444"/>
      <c r="V57" s="120"/>
      <c r="W57" s="120"/>
      <c r="X57" s="121"/>
      <c r="Y57" s="122">
        <f>Y54/14</f>
        <v>53.571428571428569</v>
      </c>
    </row>
    <row r="58" spans="1:49" s="70" customFormat="1" ht="21" customHeight="1" thickBot="1" x14ac:dyDescent="0.25">
      <c r="A58" s="455"/>
      <c r="B58" s="465" t="s">
        <v>8</v>
      </c>
      <c r="C58" s="466"/>
      <c r="D58" s="123"/>
      <c r="E58" s="123"/>
      <c r="F58" s="124"/>
      <c r="G58" s="125">
        <f>(G25+G28+G31+G34+G37+G40+G43+G46+G49)/14</f>
        <v>8</v>
      </c>
      <c r="H58" s="125">
        <f>(H25+H28+H31+H34+H37+H40+H43+H46+H49)/14</f>
        <v>2</v>
      </c>
      <c r="I58" s="125">
        <f t="shared" ref="I58:K58" si="0">(I25+I28+I31+I34+I37+I40+I43+I46+I49)/14</f>
        <v>3</v>
      </c>
      <c r="J58" s="125">
        <f t="shared" si="0"/>
        <v>2</v>
      </c>
      <c r="K58" s="125">
        <f t="shared" si="0"/>
        <v>11</v>
      </c>
      <c r="L58" s="501" t="s">
        <v>54</v>
      </c>
      <c r="M58" s="502"/>
      <c r="N58" s="465" t="s">
        <v>8</v>
      </c>
      <c r="O58" s="466"/>
      <c r="P58" s="123"/>
      <c r="Q58" s="123"/>
      <c r="R58" s="124"/>
      <c r="S58" s="125">
        <f>(S25+S28+S31+S34+S37+S40+S43+S46+S49)/14</f>
        <v>7</v>
      </c>
      <c r="T58" s="125">
        <f>(T25+T28+T31+T34+T37+T40+T43+T46+T49)/14</f>
        <v>0.5</v>
      </c>
      <c r="U58" s="125">
        <f t="shared" ref="U58:W58" si="1">(U25+U28+U31+U34+U37+U40+U43+U46+U49)/14</f>
        <v>5</v>
      </c>
      <c r="V58" s="125">
        <f t="shared" si="1"/>
        <v>2</v>
      </c>
      <c r="W58" s="125">
        <f t="shared" si="1"/>
        <v>11.5</v>
      </c>
      <c r="X58" s="501" t="s">
        <v>54</v>
      </c>
      <c r="Y58" s="50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268</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2023-2025</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25">
      <c r="A63" s="449" t="str">
        <f>IF(ISBLANK($G$17),"ANUL II",CONCATENATE("ANUL II (20",$G$17+1,-20,$G$17+2,")"))</f>
        <v>ANUL II (2024-2025)</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
      <c r="A65" s="395" t="s">
        <v>28</v>
      </c>
      <c r="B65" s="437" t="s">
        <v>286</v>
      </c>
      <c r="C65" s="438"/>
      <c r="D65" s="438"/>
      <c r="E65" s="438"/>
      <c r="F65" s="438"/>
      <c r="G65" s="438"/>
      <c r="H65" s="438"/>
      <c r="I65" s="438"/>
      <c r="J65" s="438"/>
      <c r="K65" s="438"/>
      <c r="L65" s="438"/>
      <c r="M65" s="439"/>
      <c r="N65" s="445" t="s">
        <v>290</v>
      </c>
      <c r="O65" s="445"/>
      <c r="P65" s="445"/>
      <c r="Q65" s="445"/>
      <c r="R65" s="445"/>
      <c r="S65" s="445"/>
      <c r="T65" s="445"/>
      <c r="U65" s="445"/>
      <c r="V65" s="445"/>
      <c r="W65" s="445"/>
      <c r="X65" s="445"/>
      <c r="Y65" s="446"/>
    </row>
    <row r="66" spans="1:25" s="133" customFormat="1" ht="21" customHeight="1" x14ac:dyDescent="0.2">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25">
      <c r="A67" s="396"/>
      <c r="B67" s="403" t="str">
        <f>IF(ISBLANK(B65),"",CONCATENATE($E$17,$F$17,".",$G$17,".","0",RIGHT($B$64,1),".",RIGHT(L67,1),$A65,IF(COUNTIFS(B65,"*op?ional*")=1,"-ij","")))</f>
        <v>M434.23.03.V1</v>
      </c>
      <c r="C67" s="404"/>
      <c r="D67" s="405"/>
      <c r="E67" s="359">
        <v>6</v>
      </c>
      <c r="F67" s="359" t="s">
        <v>4</v>
      </c>
      <c r="G67" s="360">
        <v>28</v>
      </c>
      <c r="H67" s="361">
        <v>0</v>
      </c>
      <c r="I67" s="361">
        <v>14</v>
      </c>
      <c r="J67" s="361">
        <v>14</v>
      </c>
      <c r="K67" s="362">
        <v>0</v>
      </c>
      <c r="L67" s="363" t="s">
        <v>44</v>
      </c>
      <c r="M67" s="364">
        <f>E67*25-G67-H67-I67-J67</f>
        <v>94</v>
      </c>
      <c r="N67" s="403" t="str">
        <f>IF(ISBLANK(N65),"",CONCATENATE($E$17,$F$17,".",$G$17,".","0",RIGHT($N$64,1),".",RIGHT(X67,1),$A65,IF(COUNTIFS(N65,"*op?ional*")=1,"-ij","")))</f>
        <v>M434.23.04.S1</v>
      </c>
      <c r="O67" s="404"/>
      <c r="P67" s="405"/>
      <c r="Q67" s="359">
        <v>10</v>
      </c>
      <c r="R67" s="359" t="s">
        <v>140</v>
      </c>
      <c r="S67" s="360">
        <v>0</v>
      </c>
      <c r="T67" s="361">
        <v>0</v>
      </c>
      <c r="U67" s="361">
        <v>0</v>
      </c>
      <c r="V67" s="361">
        <v>0</v>
      </c>
      <c r="W67" s="362">
        <v>124</v>
      </c>
      <c r="X67" s="363" t="s">
        <v>152</v>
      </c>
      <c r="Y67" s="364">
        <f>Q67*25-S67-T67-U67-V67-W67</f>
        <v>126</v>
      </c>
    </row>
    <row r="68" spans="1:25" s="134" customFormat="1" ht="21" customHeight="1" thickTop="1" x14ac:dyDescent="0.2">
      <c r="A68" s="394" t="s">
        <v>29</v>
      </c>
      <c r="B68" s="450" t="s">
        <v>287</v>
      </c>
      <c r="C68" s="451"/>
      <c r="D68" s="451"/>
      <c r="E68" s="451"/>
      <c r="F68" s="451"/>
      <c r="G68" s="451"/>
      <c r="H68" s="451"/>
      <c r="I68" s="451"/>
      <c r="J68" s="451"/>
      <c r="K68" s="451"/>
      <c r="L68" s="451"/>
      <c r="M68" s="452"/>
      <c r="N68" s="445" t="s">
        <v>291</v>
      </c>
      <c r="O68" s="445"/>
      <c r="P68" s="445"/>
      <c r="Q68" s="445"/>
      <c r="R68" s="445"/>
      <c r="S68" s="445"/>
      <c r="T68" s="445"/>
      <c r="U68" s="445"/>
      <c r="V68" s="445"/>
      <c r="W68" s="445"/>
      <c r="X68" s="445"/>
      <c r="Y68" s="446"/>
    </row>
    <row r="69" spans="1:25" s="134" customFormat="1" ht="21" customHeight="1" x14ac:dyDescent="0.2">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21" customHeight="1" thickBot="1" x14ac:dyDescent="0.25">
      <c r="A70" s="396"/>
      <c r="B70" s="403" t="str">
        <f>IF(ISBLANK(B68),"",CONCATENATE($E$17,$F$17,".",$G$17,".","0",RIGHT($B$64,1),".",RIGHT(L70,1),$A68,IF(COUNTIFS(B68,"*op?ional*")=1,"-ij","")))</f>
        <v>M434.23.03.A2</v>
      </c>
      <c r="C70" s="404"/>
      <c r="D70" s="405"/>
      <c r="E70" s="359">
        <v>6</v>
      </c>
      <c r="F70" s="359" t="s">
        <v>4</v>
      </c>
      <c r="G70" s="360">
        <v>28</v>
      </c>
      <c r="H70" s="361">
        <v>0</v>
      </c>
      <c r="I70" s="361">
        <v>28</v>
      </c>
      <c r="J70" s="361">
        <v>0</v>
      </c>
      <c r="K70" s="362">
        <v>0</v>
      </c>
      <c r="L70" s="363" t="s">
        <v>278</v>
      </c>
      <c r="M70" s="364">
        <f>E70*25-G70-H70-I70-J70</f>
        <v>94</v>
      </c>
      <c r="N70" s="403" t="str">
        <f>IF(ISBLANK(N68),"",CONCATENATE($E$17,$F$17,".",$G$17,".","0",RIGHT($N$64,1),".",RIGHT(X70,1),$A68,IF(COUNTIFS(N68,"*op?ional*")=1,"-ij","")))</f>
        <v>M434.23.04.S2</v>
      </c>
      <c r="O70" s="404"/>
      <c r="P70" s="405"/>
      <c r="Q70" s="359">
        <v>10</v>
      </c>
      <c r="R70" s="359" t="s">
        <v>140</v>
      </c>
      <c r="S70" s="360">
        <v>0</v>
      </c>
      <c r="T70" s="361">
        <v>0</v>
      </c>
      <c r="U70" s="361">
        <v>0</v>
      </c>
      <c r="V70" s="361">
        <v>0</v>
      </c>
      <c r="W70" s="362">
        <v>120</v>
      </c>
      <c r="X70" s="363" t="s">
        <v>152</v>
      </c>
      <c r="Y70" s="364">
        <f>Q70*25-S70-T70-U70-V70-W70</f>
        <v>130</v>
      </c>
    </row>
    <row r="71" spans="1:25" s="134" customFormat="1" ht="21" customHeight="1" thickTop="1" x14ac:dyDescent="0.2">
      <c r="A71" s="394" t="s">
        <v>30</v>
      </c>
      <c r="B71" s="450" t="s">
        <v>310</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25">
      <c r="A73" s="396"/>
      <c r="B73" s="403" t="str">
        <f>IF(ISBLANK(B71),"",CONCATENATE($E$17,$F$17,".",$G$17,".","0",RIGHT($B$64,1),".",RIGHT(L73,1),$A71,IF(COUNTIFS(B71,"*op?ional*")=1,"-ij","")))</f>
        <v>M434.23.03.S3-ij</v>
      </c>
      <c r="C73" s="404"/>
      <c r="D73" s="405"/>
      <c r="E73" s="359">
        <v>6</v>
      </c>
      <c r="F73" s="359" t="s">
        <v>4</v>
      </c>
      <c r="G73" s="360">
        <v>28</v>
      </c>
      <c r="H73" s="361">
        <v>0</v>
      </c>
      <c r="I73" s="361">
        <v>14</v>
      </c>
      <c r="J73" s="361">
        <v>14</v>
      </c>
      <c r="K73" s="362">
        <v>0</v>
      </c>
      <c r="L73" s="363" t="s">
        <v>152</v>
      </c>
      <c r="M73" s="364">
        <f>E73*25-G73-H73-I73-J73</f>
        <v>94</v>
      </c>
      <c r="N73" s="403" t="str">
        <f>IF(ISBLANK(N71),"",CONCATENATE($E$17,$F$17,".",$G$17,".","0",RIGHT($N$64,1),".",RIGHT(X73,1),$A71,IF(COUNTIFS(N71,"*op?ional*")=1,"-ij","")))</f>
        <v>M434.23.04.S3</v>
      </c>
      <c r="O73" s="404"/>
      <c r="P73" s="405"/>
      <c r="Q73" s="359">
        <v>10</v>
      </c>
      <c r="R73" s="359" t="s">
        <v>140</v>
      </c>
      <c r="S73" s="360">
        <v>0</v>
      </c>
      <c r="T73" s="361">
        <v>0</v>
      </c>
      <c r="U73" s="361">
        <v>0</v>
      </c>
      <c r="V73" s="361">
        <v>0</v>
      </c>
      <c r="W73" s="362">
        <v>120</v>
      </c>
      <c r="X73" s="363" t="s">
        <v>152</v>
      </c>
      <c r="Y73" s="364">
        <f>Q73*25-S73-T73-U73-V73-W73</f>
        <v>130</v>
      </c>
    </row>
    <row r="74" spans="1:25" s="134" customFormat="1" ht="21" customHeight="1" thickTop="1" x14ac:dyDescent="0.2">
      <c r="A74" s="394" t="s">
        <v>31</v>
      </c>
      <c r="B74" s="450" t="s">
        <v>288</v>
      </c>
      <c r="C74" s="451"/>
      <c r="D74" s="451"/>
      <c r="E74" s="451"/>
      <c r="F74" s="451"/>
      <c r="G74" s="451"/>
      <c r="H74" s="451"/>
      <c r="I74" s="451"/>
      <c r="J74" s="451"/>
      <c r="K74" s="451"/>
      <c r="L74" s="451"/>
      <c r="M74" s="452"/>
      <c r="N74" s="445" t="s">
        <v>292</v>
      </c>
      <c r="O74" s="445"/>
      <c r="P74" s="445"/>
      <c r="Q74" s="445"/>
      <c r="R74" s="445"/>
      <c r="S74" s="445"/>
      <c r="T74" s="445"/>
      <c r="U74" s="445"/>
      <c r="V74" s="445"/>
      <c r="W74" s="445"/>
      <c r="X74" s="445"/>
      <c r="Y74" s="446"/>
    </row>
    <row r="75" spans="1:25" s="134" customFormat="1" ht="21" customHeight="1" x14ac:dyDescent="0.2">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25">
      <c r="A76" s="396"/>
      <c r="B76" s="403" t="str">
        <f>IF(ISBLANK(B74),"",CONCATENATE($E$17,$F$17,".",$G$17,".","0",RIGHT($B$64,1),".",RIGHT(L76,1),$A74,IF(COUNTIFS(B74,"*op?ional*")=1,"-ij","")))</f>
        <v>M434.23.03.A4</v>
      </c>
      <c r="C76" s="404"/>
      <c r="D76" s="405"/>
      <c r="E76" s="369">
        <v>5</v>
      </c>
      <c r="F76" s="369" t="s">
        <v>4</v>
      </c>
      <c r="G76" s="370">
        <v>28</v>
      </c>
      <c r="H76" s="371">
        <v>0</v>
      </c>
      <c r="I76" s="371">
        <v>14</v>
      </c>
      <c r="J76" s="371">
        <v>0</v>
      </c>
      <c r="K76" s="372">
        <v>0</v>
      </c>
      <c r="L76" s="373" t="s">
        <v>278</v>
      </c>
      <c r="M76" s="364">
        <f>E76*25-G76-H76-I76-J76</f>
        <v>83</v>
      </c>
      <c r="N76" s="403" t="str">
        <f>IF(ISBLANK(N74),"",CONCATENATE($E$17,$F$17,".",$G$17,".","0",RIGHT($N$64,1),".",RIGHT(X76,1),$A74,IF(COUNTIFS(N74,"*op?ional*")=1,"-ij","")))</f>
        <v>M434.23.04.S4</v>
      </c>
      <c r="O76" s="404"/>
      <c r="P76" s="405"/>
      <c r="Q76" s="359">
        <v>10</v>
      </c>
      <c r="R76" s="359" t="s">
        <v>4</v>
      </c>
      <c r="S76" s="360"/>
      <c r="T76" s="361"/>
      <c r="U76" s="361"/>
      <c r="V76" s="361"/>
      <c r="W76" s="362"/>
      <c r="X76" s="363" t="s">
        <v>152</v>
      </c>
      <c r="Y76" s="374"/>
    </row>
    <row r="77" spans="1:25" s="134" customFormat="1" ht="21" customHeight="1" thickTop="1" x14ac:dyDescent="0.2">
      <c r="A77" s="394" t="s">
        <v>32</v>
      </c>
      <c r="B77" s="450" t="s">
        <v>289</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25">
      <c r="A79" s="396"/>
      <c r="B79" s="403" t="str">
        <f>IF(ISBLANK(B77),"",CONCATENATE($E$17,$F$17,".",$G$17,".","0",RIGHT($B$64,1),".",RIGHT(L79,1),$A77,IF(COUNTIFS(B77,"*op?ional*")=1,"-ij","")))</f>
        <v>M434.23.03.S5</v>
      </c>
      <c r="C79" s="404"/>
      <c r="D79" s="405"/>
      <c r="E79" s="359">
        <v>7</v>
      </c>
      <c r="F79" s="359" t="s">
        <v>140</v>
      </c>
      <c r="G79" s="360">
        <v>0</v>
      </c>
      <c r="H79" s="361">
        <v>0</v>
      </c>
      <c r="I79" s="361">
        <v>0</v>
      </c>
      <c r="J79" s="361">
        <v>0</v>
      </c>
      <c r="K79" s="362">
        <v>154</v>
      </c>
      <c r="L79" s="363" t="s">
        <v>152</v>
      </c>
      <c r="M79" s="364">
        <f>E79*25-G79-H79-I79-J79-K79</f>
        <v>21</v>
      </c>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25">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25">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25">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25">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
      <c r="A92" s="394" t="s">
        <v>238</v>
      </c>
      <c r="B92" s="416"/>
      <c r="C92" s="417"/>
      <c r="D92" s="417"/>
      <c r="E92" s="417"/>
      <c r="F92" s="417"/>
      <c r="G92" s="417"/>
      <c r="H92" s="417"/>
      <c r="I92" s="417"/>
      <c r="J92" s="417"/>
      <c r="K92" s="417"/>
      <c r="L92" s="417"/>
      <c r="M92" s="418"/>
      <c r="N92" s="416"/>
      <c r="O92" s="417"/>
      <c r="P92" s="417"/>
      <c r="Q92" s="417"/>
      <c r="R92" s="417"/>
      <c r="S92" s="417"/>
      <c r="T92" s="417"/>
      <c r="U92" s="417"/>
      <c r="V92" s="417"/>
      <c r="W92" s="417"/>
      <c r="X92" s="417"/>
      <c r="Y92" s="418"/>
    </row>
    <row r="93" spans="1:25" s="100" customFormat="1" ht="21" customHeight="1" x14ac:dyDescent="0.2">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396"/>
      <c r="B94" s="403" t="str">
        <f>IF(ISBLANK(B92),"",CONCATENATE($E$17,$F$17,".",$G$17,".","0",RIGHT($B$64,1),".",RIGHT(L94,1),$A92,"-ij"))</f>
        <v/>
      </c>
      <c r="C94" s="404"/>
      <c r="D94" s="405"/>
      <c r="E94" s="344"/>
      <c r="F94" s="344"/>
      <c r="G94" s="345"/>
      <c r="H94" s="346"/>
      <c r="I94" s="346"/>
      <c r="J94" s="346"/>
      <c r="K94" s="347"/>
      <c r="L94" s="344"/>
      <c r="M94" s="348"/>
      <c r="N94" s="403" t="str">
        <f>IF(ISBLANK(N92),"",CONCATENATE($E$17,$F$17,".",$G$17,".","0",RIGHT($N$64,1),".",RIGHT(X94,1),$A92,"-ij"))</f>
        <v/>
      </c>
      <c r="O94" s="404"/>
      <c r="P94" s="405"/>
      <c r="Q94" s="349"/>
      <c r="R94" s="349"/>
      <c r="S94" s="350"/>
      <c r="T94" s="351"/>
      <c r="U94" s="351"/>
      <c r="V94" s="351"/>
      <c r="W94" s="352"/>
      <c r="X94" s="344"/>
      <c r="Y94" s="348"/>
    </row>
    <row r="95" spans="1:25" s="70" customFormat="1" ht="21" customHeight="1" thickTop="1" x14ac:dyDescent="0.2">
      <c r="A95" s="453" t="s">
        <v>48</v>
      </c>
      <c r="B95" s="101" t="s">
        <v>52</v>
      </c>
      <c r="C95" s="102"/>
      <c r="D95" s="102"/>
      <c r="E95" s="433">
        <f>SUM(G67:J67,G70:J70,G73:J73,G76:J76,G79:J79,G82:J82,G91:J91,G85:J85,G88:J88)</f>
        <v>210</v>
      </c>
      <c r="F95" s="434"/>
      <c r="G95" s="103" t="s">
        <v>5</v>
      </c>
      <c r="H95" s="104"/>
      <c r="I95" s="104"/>
      <c r="J95" s="104"/>
      <c r="K95" s="104"/>
      <c r="L95" s="105"/>
      <c r="M95" s="106">
        <f>SUM(M67,M70,M73,M76,M79,M82,M91,M85,M88)</f>
        <v>386</v>
      </c>
      <c r="N95" s="101" t="s">
        <v>52</v>
      </c>
      <c r="O95" s="102"/>
      <c r="P95" s="102"/>
      <c r="Q95" s="469">
        <f>SUM(S67:V67,S70:V70,S73:V73,S76:V76,S79:V79,S82:V82,S91:V91,S85:V85,S88:V88)</f>
        <v>0</v>
      </c>
      <c r="R95" s="470"/>
      <c r="S95" s="103" t="s">
        <v>5</v>
      </c>
      <c r="T95" s="104"/>
      <c r="U95" s="104"/>
      <c r="V95" s="104"/>
      <c r="W95" s="104"/>
      <c r="X95" s="105"/>
      <c r="Y95" s="135">
        <f>SUM(Y67,Y70,Y73,Y76,Y79,Y82,Y85,Y88,Y91)</f>
        <v>386</v>
      </c>
    </row>
    <row r="96" spans="1:25" s="70" customFormat="1" ht="21" customHeight="1" x14ac:dyDescent="0.2">
      <c r="A96" s="454"/>
      <c r="B96" s="443" t="s">
        <v>53</v>
      </c>
      <c r="C96" s="444"/>
      <c r="D96" s="444"/>
      <c r="E96" s="431">
        <f>SUM(G67:K67,G70:K70,G73:K73,G76:K76,G79:K79,G82:K82,G91:K91,G85:K85,G88:K88)</f>
        <v>364</v>
      </c>
      <c r="F96" s="432"/>
      <c r="G96" s="443" t="s">
        <v>55</v>
      </c>
      <c r="H96" s="444"/>
      <c r="I96" s="444"/>
      <c r="J96" s="107"/>
      <c r="K96" s="107"/>
      <c r="L96" s="108"/>
      <c r="M96" s="109">
        <f>E96+M95</f>
        <v>750</v>
      </c>
      <c r="N96" s="443" t="s">
        <v>53</v>
      </c>
      <c r="O96" s="444"/>
      <c r="P96" s="444"/>
      <c r="Q96" s="471">
        <f>SUM(S67:W67,S70:W70,S73:W73,S76:W76,S79:W79,S82:W82,S91:W91,S85:W85,S88:W88)</f>
        <v>364</v>
      </c>
      <c r="R96" s="472"/>
      <c r="S96" s="443" t="s">
        <v>55</v>
      </c>
      <c r="T96" s="444"/>
      <c r="U96" s="444"/>
      <c r="V96" s="110"/>
      <c r="W96" s="110"/>
      <c r="X96" s="111"/>
      <c r="Y96" s="136">
        <f>Q96+Y95</f>
        <v>750</v>
      </c>
    </row>
    <row r="97" spans="1:49" s="70" customFormat="1" ht="21" customHeight="1" thickBot="1" x14ac:dyDescent="0.25">
      <c r="A97" s="473"/>
      <c r="B97" s="465" t="s">
        <v>6</v>
      </c>
      <c r="C97" s="466"/>
      <c r="D97" s="113"/>
      <c r="E97" s="429">
        <f>SUM(E67,E70,E73,E76,E79,E82,E91,E85,E88)</f>
        <v>30</v>
      </c>
      <c r="F97" s="430"/>
      <c r="G97" s="465" t="s">
        <v>7</v>
      </c>
      <c r="H97" s="466"/>
      <c r="I97" s="466"/>
      <c r="J97" s="466"/>
      <c r="K97" s="466"/>
      <c r="L97" s="499" t="str">
        <f>AZ421</f>
        <v>4E,0D,1C</v>
      </c>
      <c r="M97" s="500"/>
      <c r="N97" s="465" t="s">
        <v>6</v>
      </c>
      <c r="O97" s="466"/>
      <c r="P97" s="114"/>
      <c r="Q97" s="427" t="str">
        <f>CONCATENATE(SUM(Q67,Q70,Q73,Q76,Q79,Q82,Q85,Q88,Q91,-CP449),"+",CP449,"*")</f>
        <v>30+10*</v>
      </c>
      <c r="R97" s="428"/>
      <c r="S97" s="465" t="s">
        <v>7</v>
      </c>
      <c r="T97" s="466"/>
      <c r="U97" s="466"/>
      <c r="V97" s="466"/>
      <c r="W97" s="115"/>
      <c r="X97" s="435" t="str">
        <f>AZ422</f>
        <v>1E,0D,3C</v>
      </c>
      <c r="Y97" s="436"/>
    </row>
    <row r="98" spans="1:49" s="70" customFormat="1" ht="21" customHeight="1" thickTop="1" x14ac:dyDescent="0.2">
      <c r="A98" s="453" t="s">
        <v>49</v>
      </c>
      <c r="B98" s="101" t="s">
        <v>52</v>
      </c>
      <c r="C98" s="102"/>
      <c r="D98" s="102"/>
      <c r="E98" s="422">
        <f>SUM(G100:J100)</f>
        <v>15</v>
      </c>
      <c r="F98" s="423"/>
      <c r="G98" s="103" t="s">
        <v>5</v>
      </c>
      <c r="H98" s="104"/>
      <c r="I98" s="104"/>
      <c r="J98" s="104"/>
      <c r="K98" s="104"/>
      <c r="L98" s="105"/>
      <c r="M98" s="116">
        <f>M95/14</f>
        <v>27.571428571428573</v>
      </c>
      <c r="N98" s="101" t="s">
        <v>52</v>
      </c>
      <c r="O98" s="102"/>
      <c r="P98" s="102"/>
      <c r="Q98" s="422">
        <f>SUM(S100:V100)</f>
        <v>0</v>
      </c>
      <c r="R98" s="423"/>
      <c r="S98" s="103" t="s">
        <v>5</v>
      </c>
      <c r="T98" s="104"/>
      <c r="U98" s="104"/>
      <c r="V98" s="104"/>
      <c r="W98" s="104"/>
      <c r="X98" s="117"/>
      <c r="Y98" s="118">
        <f>Y95/14</f>
        <v>27.571428571428573</v>
      </c>
    </row>
    <row r="99" spans="1:49" s="70" customFormat="1" ht="21" customHeight="1" x14ac:dyDescent="0.2">
      <c r="A99" s="454"/>
      <c r="B99" s="443" t="s">
        <v>53</v>
      </c>
      <c r="C99" s="444"/>
      <c r="D99" s="444"/>
      <c r="E99" s="424">
        <f>SUM(G100:K100)</f>
        <v>26</v>
      </c>
      <c r="F99" s="425"/>
      <c r="G99" s="443" t="s">
        <v>55</v>
      </c>
      <c r="H99" s="444"/>
      <c r="I99" s="444"/>
      <c r="J99" s="107"/>
      <c r="K99" s="107"/>
      <c r="L99" s="88"/>
      <c r="M99" s="119">
        <f>E99+M98</f>
        <v>53.571428571428569</v>
      </c>
      <c r="N99" s="443" t="s">
        <v>53</v>
      </c>
      <c r="O99" s="444"/>
      <c r="P99" s="444"/>
      <c r="Q99" s="424">
        <f>SUM(S100:W100)</f>
        <v>26</v>
      </c>
      <c r="R99" s="425"/>
      <c r="S99" s="443" t="s">
        <v>55</v>
      </c>
      <c r="T99" s="444"/>
      <c r="U99" s="444"/>
      <c r="V99" s="120"/>
      <c r="W99" s="120"/>
      <c r="X99" s="121"/>
      <c r="Y99" s="122">
        <f>Y96/14</f>
        <v>53.571428571428569</v>
      </c>
    </row>
    <row r="100" spans="1:49" s="70" customFormat="1" ht="21" customHeight="1" thickBot="1" x14ac:dyDescent="0.25">
      <c r="A100" s="455"/>
      <c r="B100" s="465" t="s">
        <v>8</v>
      </c>
      <c r="C100" s="466"/>
      <c r="D100" s="123"/>
      <c r="E100" s="123"/>
      <c r="F100" s="124"/>
      <c r="G100" s="125">
        <f>(G67+G70+G73+G76+G79+G82+G91+G85+G88)/14</f>
        <v>8</v>
      </c>
      <c r="H100" s="125">
        <f>(H67+H70+H73+H76+H79+H82+H91+H85+H88)/14</f>
        <v>0</v>
      </c>
      <c r="I100" s="125">
        <f t="shared" ref="I100:K100" si="2">(I67+I70+I73+I76+I79+I82+I91+I85+I88)/14</f>
        <v>5</v>
      </c>
      <c r="J100" s="125">
        <f t="shared" si="2"/>
        <v>2</v>
      </c>
      <c r="K100" s="125">
        <f t="shared" si="2"/>
        <v>11</v>
      </c>
      <c r="L100" s="501" t="s">
        <v>54</v>
      </c>
      <c r="M100" s="502"/>
      <c r="N100" s="465" t="s">
        <v>8</v>
      </c>
      <c r="O100" s="466"/>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1" t="s">
        <v>54</v>
      </c>
      <c r="Y100" s="502"/>
    </row>
    <row r="101" spans="1:49" ht="21" customHeight="1" thickTop="1" x14ac:dyDescent="0.2">
      <c r="A101" s="426" t="s">
        <v>269</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268</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2023-2025</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(2023-2024)</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25">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
      <c r="A113" s="395" t="s">
        <v>33</v>
      </c>
      <c r="B113" s="462"/>
      <c r="C113" s="463"/>
      <c r="D113" s="463"/>
      <c r="E113" s="463"/>
      <c r="F113" s="463"/>
      <c r="G113" s="463"/>
      <c r="H113" s="463"/>
      <c r="I113" s="463"/>
      <c r="J113" s="463"/>
      <c r="K113" s="463"/>
      <c r="L113" s="463"/>
      <c r="M113" s="464"/>
      <c r="N113" s="451" t="s">
        <v>305</v>
      </c>
      <c r="O113" s="451"/>
      <c r="P113" s="451"/>
      <c r="Q113" s="451"/>
      <c r="R113" s="451"/>
      <c r="S113" s="451"/>
      <c r="T113" s="451"/>
      <c r="U113" s="451"/>
      <c r="V113" s="451"/>
      <c r="W113" s="451"/>
      <c r="X113" s="451"/>
      <c r="Y113" s="452"/>
    </row>
    <row r="114" spans="1:25" s="134" customFormat="1" ht="21" customHeight="1" x14ac:dyDescent="0.2">
      <c r="A114" s="395"/>
      <c r="B114" s="459"/>
      <c r="C114" s="460"/>
      <c r="D114" s="460"/>
      <c r="E114" s="460"/>
      <c r="F114" s="460"/>
      <c r="G114" s="460"/>
      <c r="H114" s="460"/>
      <c r="I114" s="460"/>
      <c r="J114" s="460"/>
      <c r="K114" s="460"/>
      <c r="L114" s="460"/>
      <c r="M114" s="461"/>
      <c r="N114" s="441"/>
      <c r="O114" s="441"/>
      <c r="P114" s="441"/>
      <c r="Q114" s="441"/>
      <c r="R114" s="441"/>
      <c r="S114" s="441"/>
      <c r="T114" s="441"/>
      <c r="U114" s="441"/>
      <c r="V114" s="441"/>
      <c r="W114" s="441"/>
      <c r="X114" s="441"/>
      <c r="Y114" s="442"/>
    </row>
    <row r="115" spans="1:25" s="134" customFormat="1" ht="21" customHeight="1" thickBot="1" x14ac:dyDescent="0.25">
      <c r="A115" s="396"/>
      <c r="B115" s="403" t="str">
        <f>IF(ISBLANK(B113),"",CONCATENATE(LEFT(INDEX(B$23:B$49,MATCH(LEFT(B113,11)&amp;"*",B$23:B$49,0)+2),FIND("-",INDEX(B$23:B$49,MATCH(LEFT(B113,11)&amp;"*",B$23:B$49,0)+2))),$A113))</f>
        <v/>
      </c>
      <c r="C115" s="404"/>
      <c r="D115" s="405"/>
      <c r="E115" s="300"/>
      <c r="F115" s="300"/>
      <c r="G115" s="301"/>
      <c r="H115" s="302"/>
      <c r="I115" s="302"/>
      <c r="J115" s="302"/>
      <c r="K115" s="303"/>
      <c r="L115" s="304"/>
      <c r="M115" s="305"/>
      <c r="N115" s="403" t="str">
        <f>IF(ISBLANK(N113),"",CONCATENATE(LEFT(INDEX(N$23:N$49,MATCH(LEFT(N113,11)&amp;"*",N$23:N$49,0)+2),FIND("-",INDEX(N$23:N$49,MATCH(LEFT(N113,11)&amp;"*",N$23:N$49,0)+2))),$A113))</f>
        <v>M434.23.02.V3-01</v>
      </c>
      <c r="O115" s="404"/>
      <c r="P115" s="405"/>
      <c r="Q115" s="359">
        <v>6</v>
      </c>
      <c r="R115" s="359" t="s">
        <v>4</v>
      </c>
      <c r="S115" s="360">
        <v>28</v>
      </c>
      <c r="T115" s="361">
        <v>0</v>
      </c>
      <c r="U115" s="361">
        <v>14</v>
      </c>
      <c r="V115" s="361">
        <v>14</v>
      </c>
      <c r="W115" s="362">
        <v>0</v>
      </c>
      <c r="X115" s="363" t="s">
        <v>44</v>
      </c>
      <c r="Y115" s="364">
        <f>Q115*25-S115-T115-U115-V115</f>
        <v>94</v>
      </c>
    </row>
    <row r="116" spans="1:25" s="134" customFormat="1" ht="21" customHeight="1" thickTop="1" x14ac:dyDescent="0.2">
      <c r="A116" s="395" t="s">
        <v>34</v>
      </c>
      <c r="B116" s="456"/>
      <c r="C116" s="457"/>
      <c r="D116" s="457"/>
      <c r="E116" s="457"/>
      <c r="F116" s="457"/>
      <c r="G116" s="457"/>
      <c r="H116" s="457"/>
      <c r="I116" s="457"/>
      <c r="J116" s="457"/>
      <c r="K116" s="457"/>
      <c r="L116" s="457"/>
      <c r="M116" s="458"/>
      <c r="N116" s="451" t="s">
        <v>306</v>
      </c>
      <c r="O116" s="451"/>
      <c r="P116" s="451"/>
      <c r="Q116" s="451"/>
      <c r="R116" s="451"/>
      <c r="S116" s="451"/>
      <c r="T116" s="451"/>
      <c r="U116" s="451"/>
      <c r="V116" s="451"/>
      <c r="W116" s="451"/>
      <c r="X116" s="451"/>
      <c r="Y116" s="452"/>
    </row>
    <row r="117" spans="1:25" s="134" customFormat="1" ht="21" customHeight="1" x14ac:dyDescent="0.2">
      <c r="A117" s="395"/>
      <c r="B117" s="459"/>
      <c r="C117" s="460"/>
      <c r="D117" s="460"/>
      <c r="E117" s="460"/>
      <c r="F117" s="460"/>
      <c r="G117" s="460"/>
      <c r="H117" s="460"/>
      <c r="I117" s="460"/>
      <c r="J117" s="460"/>
      <c r="K117" s="460"/>
      <c r="L117" s="460"/>
      <c r="M117" s="461"/>
      <c r="N117" s="441"/>
      <c r="O117" s="441"/>
      <c r="P117" s="441"/>
      <c r="Q117" s="441"/>
      <c r="R117" s="441"/>
      <c r="S117" s="441"/>
      <c r="T117" s="441"/>
      <c r="U117" s="441"/>
      <c r="V117" s="441"/>
      <c r="W117" s="441"/>
      <c r="X117" s="441"/>
      <c r="Y117" s="442"/>
    </row>
    <row r="118" spans="1:25" s="134" customFormat="1" ht="21" customHeight="1" thickBot="1" x14ac:dyDescent="0.25">
      <c r="A118" s="396"/>
      <c r="B118" s="403" t="str">
        <f>IF(ISBLANK(B116),"",CONCATENATE(LEFT(INDEX(B$23:B$49,MATCH(LEFT(B116,11)&amp;"*",B$23:B$49,0)+2),FIND("-",INDEX(B$23:B$49,MATCH(LEFT(B116,11)&amp;"*",B$23:B$49,0)+2))),$A116))</f>
        <v/>
      </c>
      <c r="C118" s="404"/>
      <c r="D118" s="405"/>
      <c r="E118" s="300"/>
      <c r="F118" s="300"/>
      <c r="G118" s="301"/>
      <c r="H118" s="302"/>
      <c r="I118" s="302"/>
      <c r="J118" s="302"/>
      <c r="K118" s="303"/>
      <c r="L118" s="304"/>
      <c r="M118" s="305"/>
      <c r="N118" s="403" t="str">
        <f>IF(ISBLANK(N116),"",CONCATENATE(LEFT(INDEX(N$23:N$49,MATCH(LEFT(N116,11)&amp;"*",N$23:N$49,0)+2),FIND("-",INDEX(N$23:N$49,MATCH(LEFT(N116,11)&amp;"*",N$23:N$49,0)+2))),$A116))</f>
        <v>M434.23.02.V3-02</v>
      </c>
      <c r="O118" s="404"/>
      <c r="P118" s="405"/>
      <c r="Q118" s="359">
        <v>6</v>
      </c>
      <c r="R118" s="359" t="s">
        <v>4</v>
      </c>
      <c r="S118" s="360">
        <v>28</v>
      </c>
      <c r="T118" s="361">
        <v>0</v>
      </c>
      <c r="U118" s="361">
        <v>14</v>
      </c>
      <c r="V118" s="361">
        <v>14</v>
      </c>
      <c r="W118" s="362">
        <v>0</v>
      </c>
      <c r="X118" s="363" t="s">
        <v>44</v>
      </c>
      <c r="Y118" s="364">
        <f>Q118*25-S118-T118-U118-V118</f>
        <v>94</v>
      </c>
    </row>
    <row r="119" spans="1:25" s="134" customFormat="1" ht="21" customHeight="1" thickTop="1" x14ac:dyDescent="0.2">
      <c r="A119" s="394" t="s">
        <v>35</v>
      </c>
      <c r="B119" s="462"/>
      <c r="C119" s="463"/>
      <c r="D119" s="463"/>
      <c r="E119" s="463"/>
      <c r="F119" s="463"/>
      <c r="G119" s="463"/>
      <c r="H119" s="463"/>
      <c r="I119" s="463"/>
      <c r="J119" s="463"/>
      <c r="K119" s="463"/>
      <c r="L119" s="463"/>
      <c r="M119" s="464"/>
      <c r="N119" s="462"/>
      <c r="O119" s="463"/>
      <c r="P119" s="463"/>
      <c r="Q119" s="463"/>
      <c r="R119" s="463"/>
      <c r="S119" s="463"/>
      <c r="T119" s="463"/>
      <c r="U119" s="463"/>
      <c r="V119" s="463"/>
      <c r="W119" s="463"/>
      <c r="X119" s="463"/>
      <c r="Y119" s="464"/>
    </row>
    <row r="120" spans="1:25" s="134" customFormat="1" ht="21" customHeight="1" x14ac:dyDescent="0.2">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25">
      <c r="A121" s="396"/>
      <c r="B121" s="403" t="str">
        <f>IF(ISBLANK(B119),"",CONCATENATE(LEFT(INDEX(B$23:B$49,MATCH(LEFT(B119,11)&amp;"*",B$23:B$49,0)+2),FIND("-",INDEX(B$23:B$49,MATCH(LEFT(B119,11)&amp;"*",B$23:B$49,0)+2))),$A119))</f>
        <v/>
      </c>
      <c r="C121" s="404"/>
      <c r="D121" s="405"/>
      <c r="E121" s="300"/>
      <c r="F121" s="300"/>
      <c r="G121" s="301"/>
      <c r="H121" s="302"/>
      <c r="I121" s="302"/>
      <c r="J121" s="302"/>
      <c r="K121" s="303"/>
      <c r="L121" s="304"/>
      <c r="M121" s="305"/>
      <c r="N121" s="403" t="str">
        <f>IF(ISBLANK(N119),"",CONCATENATE(LEFT(INDEX(N$23:N$49,MATCH(LEFT(N119,11)&amp;"*",N$23:N$49,0)+2),FIND("-",INDEX(N$23:N$49,MATCH(LEFT(N119,11)&amp;"*",N$23:N$49,0)+2))),$A119))</f>
        <v/>
      </c>
      <c r="O121" s="404"/>
      <c r="P121" s="405"/>
      <c r="Q121" s="300"/>
      <c r="R121" s="300"/>
      <c r="S121" s="301"/>
      <c r="T121" s="302"/>
      <c r="U121" s="302"/>
      <c r="V121" s="302"/>
      <c r="W121" s="303"/>
      <c r="X121" s="304"/>
      <c r="Y121" s="305"/>
    </row>
    <row r="122" spans="1:25" s="134" customFormat="1" ht="21" customHeight="1" thickTop="1" x14ac:dyDescent="0.2">
      <c r="A122" s="394" t="s">
        <v>36</v>
      </c>
      <c r="B122" s="462"/>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25">
      <c r="A124" s="396"/>
      <c r="B124" s="403" t="str">
        <f>IF(ISBLANK(B122),"",CONCATENATE(LEFT(INDEX(B$23:B$49,MATCH(LEFT(B122,11)&amp;"*",B$23:B$49,0)+2),FIND("-",INDEX(B$23:B$49,MATCH(LEFT(B122,11)&amp;"*",B$23:B$49,0)+2))),$A122))</f>
        <v/>
      </c>
      <c r="C124" s="404"/>
      <c r="D124" s="405"/>
      <c r="E124" s="300"/>
      <c r="F124" s="300"/>
      <c r="G124" s="301"/>
      <c r="H124" s="302"/>
      <c r="I124" s="302"/>
      <c r="J124" s="302"/>
      <c r="K124" s="303"/>
      <c r="L124" s="304"/>
      <c r="M124" s="305"/>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25">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25">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25">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25">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25">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25">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6" t="s">
        <v>270</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2023-2025</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(2024-2025)</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25">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
      <c r="A151" s="395" t="s">
        <v>33</v>
      </c>
      <c r="B151" s="450" t="s">
        <v>308</v>
      </c>
      <c r="C151" s="451"/>
      <c r="D151" s="451"/>
      <c r="E151" s="451"/>
      <c r="F151" s="451"/>
      <c r="G151" s="451"/>
      <c r="H151" s="451"/>
      <c r="I151" s="451"/>
      <c r="J151" s="451"/>
      <c r="K151" s="451"/>
      <c r="L151" s="451"/>
      <c r="M151" s="452"/>
      <c r="N151" s="462"/>
      <c r="O151" s="463"/>
      <c r="P151" s="463"/>
      <c r="Q151" s="463"/>
      <c r="R151" s="463"/>
      <c r="S151" s="463"/>
      <c r="T151" s="463"/>
      <c r="U151" s="463"/>
      <c r="V151" s="463"/>
      <c r="W151" s="463"/>
      <c r="X151" s="463"/>
      <c r="Y151" s="464"/>
    </row>
    <row r="152" spans="1:74" s="134" customFormat="1" ht="21" customHeight="1" x14ac:dyDescent="0.2">
      <c r="A152" s="395"/>
      <c r="B152" s="440"/>
      <c r="C152" s="441"/>
      <c r="D152" s="441"/>
      <c r="E152" s="441"/>
      <c r="F152" s="441"/>
      <c r="G152" s="441"/>
      <c r="H152" s="441"/>
      <c r="I152" s="441"/>
      <c r="J152" s="441"/>
      <c r="K152" s="441"/>
      <c r="L152" s="441"/>
      <c r="M152" s="442"/>
      <c r="N152" s="459"/>
      <c r="O152" s="460"/>
      <c r="P152" s="460"/>
      <c r="Q152" s="460"/>
      <c r="R152" s="460"/>
      <c r="S152" s="460"/>
      <c r="T152" s="460"/>
      <c r="U152" s="460"/>
      <c r="V152" s="460"/>
      <c r="W152" s="460"/>
      <c r="X152" s="460"/>
      <c r="Y152" s="461"/>
    </row>
    <row r="153" spans="1:74" s="134" customFormat="1" ht="21" customHeight="1" thickBot="1" x14ac:dyDescent="0.25">
      <c r="A153" s="396"/>
      <c r="B153" s="403" t="str">
        <f>IF(ISBLANK(B151),"",CONCATENATE(LEFT(INDEX(B$65:B$91,MATCH(LEFT(B151,11)&amp;"*",B$65:B$91,0)+2),FIND("-",INDEX(B$65:B$91,MATCH(LEFT(B151,11)&amp;"*",B$65:B$91,0)+2))),$A151))</f>
        <v>M434.23.03.S3-01</v>
      </c>
      <c r="C153" s="404"/>
      <c r="D153" s="405"/>
      <c r="E153" s="359">
        <v>6</v>
      </c>
      <c r="F153" s="359" t="s">
        <v>4</v>
      </c>
      <c r="G153" s="360">
        <v>28</v>
      </c>
      <c r="H153" s="361">
        <v>0</v>
      </c>
      <c r="I153" s="361">
        <v>14</v>
      </c>
      <c r="J153" s="361">
        <v>14</v>
      </c>
      <c r="K153" s="362">
        <v>0</v>
      </c>
      <c r="L153" s="363" t="s">
        <v>152</v>
      </c>
      <c r="M153" s="364">
        <f>E153*25-G153-H153-I153-J153</f>
        <v>94</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
      <c r="A154" s="395" t="s">
        <v>34</v>
      </c>
      <c r="B154" s="450" t="s">
        <v>309</v>
      </c>
      <c r="C154" s="451"/>
      <c r="D154" s="451"/>
      <c r="E154" s="451"/>
      <c r="F154" s="451"/>
      <c r="G154" s="451"/>
      <c r="H154" s="451"/>
      <c r="I154" s="451"/>
      <c r="J154" s="451"/>
      <c r="K154" s="451"/>
      <c r="L154" s="451"/>
      <c r="M154" s="452"/>
      <c r="N154" s="462"/>
      <c r="O154" s="463"/>
      <c r="P154" s="463"/>
      <c r="Q154" s="463"/>
      <c r="R154" s="463"/>
      <c r="S154" s="463"/>
      <c r="T154" s="463"/>
      <c r="U154" s="463"/>
      <c r="V154" s="463"/>
      <c r="W154" s="463"/>
      <c r="X154" s="463"/>
      <c r="Y154" s="464"/>
    </row>
    <row r="155" spans="1:74" s="134" customFormat="1" ht="21" customHeight="1" x14ac:dyDescent="0.2">
      <c r="A155" s="395"/>
      <c r="B155" s="440"/>
      <c r="C155" s="441"/>
      <c r="D155" s="441"/>
      <c r="E155" s="441"/>
      <c r="F155" s="441"/>
      <c r="G155" s="441"/>
      <c r="H155" s="441"/>
      <c r="I155" s="441"/>
      <c r="J155" s="441"/>
      <c r="K155" s="441"/>
      <c r="L155" s="441"/>
      <c r="M155" s="442"/>
      <c r="N155" s="459"/>
      <c r="O155" s="460"/>
      <c r="P155" s="460"/>
      <c r="Q155" s="460"/>
      <c r="R155" s="460"/>
      <c r="S155" s="460"/>
      <c r="T155" s="460"/>
      <c r="U155" s="460"/>
      <c r="V155" s="460"/>
      <c r="W155" s="460"/>
      <c r="X155" s="460"/>
      <c r="Y155" s="461"/>
    </row>
    <row r="156" spans="1:74" s="134" customFormat="1" ht="21" customHeight="1" thickBot="1" x14ac:dyDescent="0.25">
      <c r="A156" s="396"/>
      <c r="B156" s="403" t="str">
        <f>IF(ISBLANK(B154),"",CONCATENATE(LEFT(INDEX(B$65:B$91,MATCH(LEFT(B154,11)&amp;"*",B$65:B$91,0)+2),FIND("-",INDEX(B$65:B$91,MATCH(LEFT(B154,11)&amp;"*",B$65:B$91,0)+2))),$A154))</f>
        <v>M434.23.03.S3-02</v>
      </c>
      <c r="C156" s="404"/>
      <c r="D156" s="405"/>
      <c r="E156" s="359">
        <v>6</v>
      </c>
      <c r="F156" s="359" t="s">
        <v>4</v>
      </c>
      <c r="G156" s="360">
        <v>28</v>
      </c>
      <c r="H156" s="361">
        <v>0</v>
      </c>
      <c r="I156" s="361">
        <v>14</v>
      </c>
      <c r="J156" s="361">
        <v>14</v>
      </c>
      <c r="K156" s="362">
        <v>0</v>
      </c>
      <c r="L156" s="363" t="s">
        <v>152</v>
      </c>
      <c r="M156" s="364">
        <f>E156*25-G156-H156-I156-J156</f>
        <v>94</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
      <c r="A157" s="394" t="s">
        <v>35</v>
      </c>
      <c r="B157" s="462"/>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25">
      <c r="A159" s="396"/>
      <c r="B159" s="403" t="str">
        <f>IF(ISBLANK(B157),"",CONCATENATE(LEFT(INDEX(B$65:B$91,MATCH(LEFT(B157,11)&amp;"*",B$65:B$91,0)+2),FIND("-",INDEX(B$65:B$91,MATCH(LEFT(B157,11)&amp;"*",B$65:B$91,0)+2))),$A157))</f>
        <v/>
      </c>
      <c r="C159" s="404"/>
      <c r="D159" s="405"/>
      <c r="E159" s="300"/>
      <c r="F159" s="300"/>
      <c r="G159" s="300"/>
      <c r="H159" s="300"/>
      <c r="I159" s="300"/>
      <c r="J159" s="300"/>
      <c r="K159" s="300"/>
      <c r="L159" s="300"/>
      <c r="M159" s="300"/>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
      <c r="A160" s="394" t="s">
        <v>36</v>
      </c>
      <c r="B160" s="462"/>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25">
      <c r="A162" s="396"/>
      <c r="B162" s="403" t="str">
        <f>IF(ISBLANK(B160),"",CONCATENATE(LEFT(INDEX(B$65:B$91,MATCH(LEFT(B160,11)&amp;"*",B$65:B$91,0)+2),FIND("-",INDEX(B$65:B$91,MATCH(LEFT(B160,11)&amp;"*",B$65:B$91,0)+2))),$A160))</f>
        <v/>
      </c>
      <c r="C162" s="404"/>
      <c r="D162" s="405"/>
      <c r="E162" s="300"/>
      <c r="F162" s="300"/>
      <c r="G162" s="300"/>
      <c r="H162" s="300"/>
      <c r="I162" s="300"/>
      <c r="J162" s="300"/>
      <c r="K162" s="300"/>
      <c r="L162" s="300"/>
      <c r="M162" s="300"/>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25">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25">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25">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25">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25">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25">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6" t="s">
        <v>270</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25">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25">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0" t="s">
        <v>271</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8" x14ac:dyDescent="0.2">
      <c r="A213" s="411" t="str">
        <f>A20</f>
        <v>Pentru seria de studenti 2023-2025</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5.75" thickBot="1" x14ac:dyDescent="0.3">
      <c r="A214" s="412" t="str">
        <f>A21</f>
        <v>ANUL I (2023-2024)</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25">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thickTop="1" x14ac:dyDescent="0.2">
      <c r="A216" s="395" t="s">
        <v>33</v>
      </c>
      <c r="B216" s="397"/>
      <c r="C216" s="398"/>
      <c r="D216" s="398"/>
      <c r="E216" s="398"/>
      <c r="F216" s="398"/>
      <c r="G216" s="398"/>
      <c r="H216" s="398"/>
      <c r="I216" s="398"/>
      <c r="J216" s="398"/>
      <c r="K216" s="398"/>
      <c r="L216" s="398"/>
      <c r="M216" s="399"/>
      <c r="N216" s="397" t="s">
        <v>311</v>
      </c>
      <c r="O216" s="398"/>
      <c r="P216" s="398"/>
      <c r="Q216" s="398"/>
      <c r="R216" s="398"/>
      <c r="S216" s="398"/>
      <c r="T216" s="398"/>
      <c r="U216" s="398"/>
      <c r="V216" s="398"/>
      <c r="W216" s="398"/>
      <c r="X216" s="398"/>
      <c r="Y216" s="399"/>
    </row>
    <row r="217" spans="1:25" ht="14.25" x14ac:dyDescent="0.2">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5.75" thickBot="1" x14ac:dyDescent="0.25">
      <c r="A218" s="396"/>
      <c r="B218" s="403" t="str">
        <f>IF(ISBLANK(B216),"",CONCATENATE($E$17,$F$17,".",$G$17,".","0",RIGHT($B$215,1),".",RIGHT(L218,1),$A$50,"-",A216))</f>
        <v/>
      </c>
      <c r="C218" s="404"/>
      <c r="D218" s="405"/>
      <c r="E218" s="349"/>
      <c r="F218" s="349"/>
      <c r="G218" s="350"/>
      <c r="H218" s="351"/>
      <c r="I218" s="351"/>
      <c r="J218" s="351"/>
      <c r="K218" s="352"/>
      <c r="L218" s="344"/>
      <c r="M218" s="348"/>
      <c r="N218" s="403" t="str">
        <f>IF(ISBLANK(N216),"",CONCATENATE($E$17,$F$17,".",$G$17,".","0",RIGHT($N$215,1),".",RIGHT(X218,1),$A$50,"-",A216))</f>
        <v>M434.23.02.f10-01</v>
      </c>
      <c r="O218" s="404"/>
      <c r="P218" s="405"/>
      <c r="Q218" s="349">
        <v>2</v>
      </c>
      <c r="R218" s="349" t="s">
        <v>140</v>
      </c>
      <c r="S218" s="350">
        <v>0</v>
      </c>
      <c r="T218" s="351">
        <v>0</v>
      </c>
      <c r="U218" s="351">
        <v>28</v>
      </c>
      <c r="V218" s="351">
        <v>0</v>
      </c>
      <c r="W218" s="352">
        <v>0</v>
      </c>
      <c r="X218" s="344" t="s">
        <v>312</v>
      </c>
      <c r="Y218" s="348">
        <v>22</v>
      </c>
    </row>
    <row r="219" spans="1:25" thickTop="1" x14ac:dyDescent="0.2">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4.25" x14ac:dyDescent="0.2">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25">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thickTop="1" x14ac:dyDescent="0.2">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4.25" x14ac:dyDescent="0.2">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25">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thickTop="1" x14ac:dyDescent="0.2">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4.25" x14ac:dyDescent="0.2">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25">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75" thickTop="1" x14ac:dyDescent="0.2"/>
    <row r="229" spans="1:25" x14ac:dyDescent="0.25">
      <c r="A229" s="406" t="s">
        <v>272</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8" x14ac:dyDescent="0.2">
      <c r="A232" s="410" t="s">
        <v>271</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8" x14ac:dyDescent="0.2">
      <c r="A233" s="411" t="str">
        <f>A20</f>
        <v>Pentru seria de studenti 2023-2025</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5.75" thickBot="1" x14ac:dyDescent="0.3">
      <c r="A234" s="412" t="str">
        <f>A63</f>
        <v>ANUL II (2024-2025)</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ht="16.5" thickTop="1" thickBot="1" x14ac:dyDescent="0.25">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thickTop="1" x14ac:dyDescent="0.2">
      <c r="A236" s="395" t="s">
        <v>33</v>
      </c>
      <c r="B236" s="397"/>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4.25" x14ac:dyDescent="0.2">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5.75" thickBot="1" x14ac:dyDescent="0.25">
      <c r="A238" s="396"/>
      <c r="B238" s="403" t="str">
        <f>IF(ISBLANK(B236),"",CONCATENATE($E$17,$F$17,".",$G$17,".","0",RIGHT($B$235,1),".",RIGHT(L238,1),$A$50,"-",A236))</f>
        <v/>
      </c>
      <c r="C238" s="404"/>
      <c r="D238" s="405"/>
      <c r="E238" s="349"/>
      <c r="F238" s="349"/>
      <c r="G238" s="350"/>
      <c r="H238" s="351"/>
      <c r="I238" s="351"/>
      <c r="J238" s="351"/>
      <c r="K238" s="352"/>
      <c r="L238" s="344"/>
      <c r="M238" s="348"/>
      <c r="N238" s="403" t="str">
        <f>IF(ISBLANK(N236),"",CONCATENATE($E$17,$F$17,".",$G$17,".","0",RIGHT($N$235,1),".",RIGHT(X238,1),$A$50,"-",A236))</f>
        <v/>
      </c>
      <c r="O238" s="404"/>
      <c r="P238" s="405"/>
      <c r="Q238" s="349"/>
      <c r="R238" s="349"/>
      <c r="S238" s="350"/>
      <c r="T238" s="351"/>
      <c r="U238" s="351"/>
      <c r="V238" s="351"/>
      <c r="W238" s="352"/>
      <c r="X238" s="344"/>
      <c r="Y238" s="348"/>
    </row>
    <row r="239" spans="1:25" thickTop="1" x14ac:dyDescent="0.2">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4.25" x14ac:dyDescent="0.2">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25">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thickTop="1" x14ac:dyDescent="0.2">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4.25" x14ac:dyDescent="0.2">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25">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thickTop="1" x14ac:dyDescent="0.2">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4.25" x14ac:dyDescent="0.2">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25">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75" thickTop="1" x14ac:dyDescent="0.2"/>
    <row r="249" spans="1:25" x14ac:dyDescent="0.25">
      <c r="A249" s="406" t="s">
        <v>272</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3</v>
      </c>
      <c r="AZ422" s="202" t="str">
        <f t="shared" si="4"/>
        <v>1E,0D,3C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12</v>
      </c>
      <c r="AX423" s="197">
        <f>SUM(AX419:AX422)</f>
        <v>2</v>
      </c>
      <c r="AY423" s="197">
        <f>SUM(AY419:AY422)</f>
        <v>6</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PRACTICĂ PROFESIONALĂ 4</v>
      </c>
      <c r="AZ440" s="202"/>
      <c r="BA440" s="212" t="str">
        <f>IF(AV440="","",K25)</f>
        <v/>
      </c>
      <c r="BB440" s="212" t="str">
        <f>IF(AW440="","",W25)</f>
        <v/>
      </c>
      <c r="BC440" s="212" t="str">
        <f>IF(AX440="","",K67)</f>
        <v/>
      </c>
      <c r="BD440" s="212">
        <f>IF(AY440="","",W67)</f>
        <v>124</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Practică pentru elaborarea lucrării de disertaţie</v>
      </c>
      <c r="BW441" s="202"/>
      <c r="BX441" s="212" t="str">
        <f>IF(BS441="","",K28)</f>
        <v/>
      </c>
      <c r="BY441" s="212" t="str">
        <f>IF(BT441="","",W28)</f>
        <v/>
      </c>
      <c r="BZ441" s="212" t="str">
        <f>IF(BU441="","",K70)</f>
        <v/>
      </c>
      <c r="CA441" s="212">
        <f>IF(BV441="","",W70)</f>
        <v>120</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
      </c>
      <c r="CH442" s="202"/>
      <c r="CI442" s="212" t="str">
        <f>IF(CD442="","",E31)</f>
        <v/>
      </c>
      <c r="CJ442" s="212" t="str">
        <f>IF(CE442="","",W31)</f>
        <v/>
      </c>
      <c r="CK442" s="212" t="str">
        <f>IF(CF442="","",E73)</f>
        <v/>
      </c>
      <c r="CL442" s="212" t="str">
        <f>IF(CG442="","",W73)</f>
        <v/>
      </c>
      <c r="CM442" s="212" t="str">
        <f>IF(CD442="","",E31)</f>
        <v/>
      </c>
      <c r="CN442" s="212" t="str">
        <f>IF(CE442="","",Q31)</f>
        <v/>
      </c>
      <c r="CO442" s="212" t="str">
        <f>IF(CF442="","",E73)</f>
        <v/>
      </c>
      <c r="CP442" s="212" t="str">
        <f>IF(CG442="","",Q73)</f>
        <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Examen de disertație</v>
      </c>
      <c r="CH443" s="202"/>
      <c r="CI443" s="212" t="str">
        <f>IF(CD443="","",E34)</f>
        <v/>
      </c>
      <c r="CJ443" s="212" t="str">
        <f>IF(CE443="","",W34)</f>
        <v/>
      </c>
      <c r="CK443" s="212" t="str">
        <f>IF(CF443="","",E76)</f>
        <v/>
      </c>
      <c r="CL443" s="212">
        <f>IF(CG443="","",W76)</f>
        <v>0</v>
      </c>
      <c r="CM443" s="212" t="str">
        <f>IF(CD443="","",E34)</f>
        <v/>
      </c>
      <c r="CN443" s="212" t="str">
        <f>IF(CE443="","",Q34)</f>
        <v/>
      </c>
      <c r="CO443" s="212" t="str">
        <f>IF(CF443="","",E76)</f>
        <v/>
      </c>
      <c r="CP443" s="212">
        <f>IF(CG443="","",Q76)</f>
        <v>10</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154</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161</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154</v>
      </c>
      <c r="BB449" s="212">
        <f t="shared" ref="BB449:BD449" si="7">SUM(BB440:BB448)</f>
        <v>161</v>
      </c>
      <c r="BC449" s="212">
        <f t="shared" si="7"/>
        <v>154</v>
      </c>
      <c r="BD449" s="212">
        <f t="shared" si="7"/>
        <v>124</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0</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120</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Inginerie Mecanică Avansată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M434.23.01.A1</v>
      </c>
      <c r="AU480" s="204">
        <v>1</v>
      </c>
      <c r="AV480" s="204" t="str">
        <f>IF(COUNTIFS($B$23,"&lt;&gt;"&amp;"",$B$23,"&lt;&gt;*op?ional*",$B$23,"&lt;&gt;*Disciplin? facultativ?*"),$B$23,"")</f>
        <v xml:space="preserve">Teoria elasticității și plasticității </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1">
        <f>IF(SUM(BA480:BB480)&gt;0,1,0)</f>
        <v>1</v>
      </c>
      <c r="BT480" s="208" t="str">
        <f>IF($AV480="","",CONCATENATE("20",G$17+AW480-1))</f>
        <v>2023</v>
      </c>
      <c r="BU480" s="197"/>
      <c r="BV480" s="197"/>
      <c r="BW480" s="197"/>
      <c r="BX480" s="202">
        <f>SUM(G25:J25)</f>
        <v>56</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M434.23.01.A2</v>
      </c>
      <c r="AU481" s="202">
        <v>2</v>
      </c>
      <c r="AV481" s="204" t="str">
        <f>IF(COUNTIFS($B$26,"&lt;&gt;"&amp;"",$B$26,"&lt;&gt;*op?ional*",$B$26,"&lt;&gt;*Disciplin? facultativ?*"),$B$26,"")</f>
        <v>Metode numerice în analiza câmpurilor termice și a curgerii fluidelor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6">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1">
        <f t="shared" ref="BS481:BS488" si="26">IF(SUM(BA481:BB481)&gt;0,1,0)</f>
        <v>1</v>
      </c>
      <c r="BT481" s="208" t="str">
        <f t="shared" ref="BT481:BT518" si="27">IF($AV481="","",CONCATENATE("20",G$17+AW481-1))</f>
        <v>2023</v>
      </c>
      <c r="BU481" s="197"/>
      <c r="BV481" s="197"/>
      <c r="BW481" s="197"/>
      <c r="BX481" s="202">
        <f>SUM(G28:J28)</f>
        <v>56</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M434.23.01.V3</v>
      </c>
      <c r="AU482" s="202">
        <v>3</v>
      </c>
      <c r="AV482" s="204" t="str">
        <f>IF(COUNTIFS($B$29,"&lt;&gt;"&amp;"",$B$29,"&lt;&gt;*op?ional*",$B$29,"&lt;&gt;*Disciplin? facultativ?*"),$B$29,"")</f>
        <v>Mașini unelte avansate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6">
        <f>IF($AV482="","",$E$31)</f>
        <v>6</v>
      </c>
      <c r="BP482" s="214" t="str">
        <f>IF(COUNTIFS($B$25,"&lt;&gt;"&amp;"",$B$25,"&lt;&gt;practic?*",$B$25,"&lt;&gt;*op?ional*",$B$25,"&lt;&gt;*Disciplin? facultativ?*",$B$25,"&lt;&gt;*Examen de diplom?*"),$L$31,"")</f>
        <v>DCAV</v>
      </c>
      <c r="BQ482" s="206">
        <f t="shared" si="25"/>
        <v>10.7</v>
      </c>
      <c r="BR482" s="202">
        <f>IF($AV$482="","",IF($BF$482&lt;&gt;"",$BF$482,0)+IF($BL$482&lt;&gt;"",$BL$482,0)+IF($BN$482&lt;&gt;"",$BN$482,0))</f>
        <v>150</v>
      </c>
      <c r="BS482" s="331">
        <f t="shared" si="26"/>
        <v>1</v>
      </c>
      <c r="BT482" s="208" t="str">
        <f t="shared" si="27"/>
        <v>2023</v>
      </c>
      <c r="BU482" s="197"/>
      <c r="BV482" s="197"/>
      <c r="BW482" s="197"/>
      <c r="BX482" s="202">
        <f>SUM(G31:J31)</f>
        <v>56</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M434.23.01.S4</v>
      </c>
      <c r="AU483" s="202">
        <v>4</v>
      </c>
      <c r="AV483" s="204" t="str">
        <f>IF(COUNTIFS($B$32,"&lt;&gt;"&amp;"",$B$32,"&lt;&gt;*op?ional*",$B$32,"&lt;&gt;*Disciplin? facultativ?*"),$B$32,"")</f>
        <v>Dezvoltare de produs și evaluarea performanțelor</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1</v>
      </c>
      <c r="BC483" s="204">
        <f>IF(COUNTIFS($B$32,"&lt;&gt;"&amp;"",$B$32,"&lt;&gt;practic?*",$B$32,"&lt;&gt;*Elaborare proiect de diplom?*",$B$32,"&lt;&gt;*op?ional*",$B$32,"&lt;&gt;*Disciplin? facultativ?*", $B$32,"&lt;&gt;*Examen de diplom?*"),ROUND(($G$34+$H$34+$I$34+$J$34)/14,1),"")</f>
        <v>3</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14</v>
      </c>
      <c r="BF483" s="204">
        <f>IF(COUNTIFS($B$32,"&lt;&gt;"&amp;"",$B$32,"&lt;&gt;practic?*",$B$32,"&lt;&gt;*Elaborare proiect de diplom?*",$B$32,"&lt;&gt;*op?ional*",$B$32,"&lt;&gt;*Disciplin? facultativ?*", $B$32,"&lt;&gt;*Examen de diplom?*"),($G$34+$H$34+$I$34+$J$34),"")</f>
        <v>42</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5.9</v>
      </c>
      <c r="BN483" s="206">
        <f>IF(COUNTIFS($B$32,"&lt;&gt;"&amp;"",$B$32,"&lt;&gt;practic?*",$B$32,"&lt;&gt;*Elaborare proiect de diplom?*",$B$32,"&lt;&gt;*op?ional*",$B$32,"&lt;&gt;*Disciplin? facultativ?*", $B$32,"&lt;&gt;*Examen de diplom?*"),$M$34,"")</f>
        <v>83</v>
      </c>
      <c r="BO483" s="326">
        <f>IF($AV483="","",$E$34)</f>
        <v>5</v>
      </c>
      <c r="BP483" s="214" t="str">
        <f>IF(COUNTIFS($B$28,"&lt;&gt;"&amp;"",$B$28,"&lt;&gt;practic?*",$B$28,"&lt;&gt;*op?ional*",$B$28,"&lt;&gt;*Disciplin? facultativ?*",$B$28,"&lt;&gt;*Examen de diplom?*"),$L$34,"")</f>
        <v>DS</v>
      </c>
      <c r="BQ483" s="206">
        <f t="shared" si="25"/>
        <v>8.9</v>
      </c>
      <c r="BR483" s="202">
        <f>IF($AV$483="","",IF($BF$483&lt;&gt;"",$BF$483,0)+IF($BL$483&lt;&gt;"",$BL$483,0)+IF($BN$483&lt;&gt;"",$BN$483,0))</f>
        <v>125</v>
      </c>
      <c r="BS483" s="331">
        <f t="shared" si="26"/>
        <v>1</v>
      </c>
      <c r="BT483" s="208" t="str">
        <f t="shared" si="27"/>
        <v>2023</v>
      </c>
      <c r="BU483" s="197"/>
      <c r="BV483" s="197"/>
      <c r="BW483" s="197"/>
      <c r="BX483" s="202">
        <f>SUM(G34:J34)</f>
        <v>42</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M434.23.01.S5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M434.23.02.A1</v>
      </c>
      <c r="AU490" s="204">
        <v>1</v>
      </c>
      <c r="AV490" s="204" t="str">
        <f>IF(COUNTIFS($N$23,"&lt;&gt;"&amp;"",$N$23,"&lt;&gt;*op?ional*",$N$23,"&lt;&gt;*Disciplin? facultativ?*"),$N$23,"")</f>
        <v>Metode  numerice de analiză a tensiunilor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1">
        <f>IF(SUM(BA490:BB490)&gt;0,1,0)</f>
        <v>1</v>
      </c>
      <c r="BT490" s="208" t="str">
        <f t="shared" si="27"/>
        <v>2023</v>
      </c>
      <c r="BU490" s="197"/>
      <c r="BV490" s="197"/>
      <c r="BW490" s="197"/>
      <c r="BX490" s="202">
        <f>SUM(S25:V25)</f>
        <v>56</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M434.23.02.A2</v>
      </c>
      <c r="AU491" s="202">
        <v>2</v>
      </c>
      <c r="AV491" s="204" t="str">
        <f>IF(COUNTIFS($N$26,"&lt;&gt;"&amp;"",$N$26,"&lt;&gt;*op?ional*",$N$26,"&lt;&gt;*Disciplin? facultativ?*"),$N$26,"")</f>
        <v>Metode  numerice de analiză a tensiunilor</v>
      </c>
      <c r="AW491" s="204">
        <f t="shared" si="28"/>
        <v>1</v>
      </c>
      <c r="AX491" s="204" t="str">
        <f t="shared" si="29"/>
        <v>2</v>
      </c>
      <c r="AY491" s="204" t="str">
        <f>IF($AV491="","",$R$28)</f>
        <v>D</v>
      </c>
      <c r="AZ491" s="204" t="str">
        <f t="shared" ref="AZ491:AZ498" si="30">IF($AV491="","","DI")</f>
        <v>DI</v>
      </c>
      <c r="BA491" s="204">
        <f>IF(COUNTIFS($N$26,"&lt;&gt;"&amp;"",$N$26,"&lt;&gt;practic?*",$N$26,"&lt;&gt;*Elaborare proiect de diplom?*",$N$26,"&lt;&gt;*op?ional*",$N$26,"&lt;&gt;*Disciplin? facultativ?*", $N$26,"&lt;&gt;*Examen de diplom?*"),ROUND($S$28/14,1),"")</f>
        <v>0</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1</v>
      </c>
      <c r="BD491" s="206">
        <f>IF(COUNTIFS($N$26,"&lt;&gt;"&amp;"",$N$26,"&lt;&gt;practic?*",$N$26,"&lt;&gt;*Elaborare proiect de diplom?*",$N$26,"&lt;&gt;*op?ional*",$N$26,"&lt;&gt;*Disciplin? facultativ?*", $N$26,"&lt;&gt;*Examen de diplom?*"),$S$28,"")</f>
        <v>0</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14</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4.4000000000000004</v>
      </c>
      <c r="BN491" s="206">
        <f>IF(COUNTIFS($B$26,"&lt;&gt;"&amp;"",$B$26,"&lt;&gt;practic?*",$B$26,"&lt;&gt;*Elaborare proiect de diplom?*",$B$26,"&lt;&gt;*op?ional*",$B$26,"&lt;&gt;*Disciplin? facultativ?*", $B$26,"&lt;&gt;*Examen de diplom?*"),$Y$28,"")</f>
        <v>61</v>
      </c>
      <c r="BO491" s="326">
        <f>IF($AV491="","",$Q$28)</f>
        <v>3</v>
      </c>
      <c r="BP491" s="214" t="str">
        <f>IF(COUNTIFS($B$22,"&lt;&gt;"&amp;"",$B$22,"&lt;&gt;practic?*",$B$22,"&lt;&gt;*op?ional*",$B$22,"&lt;&gt;*Disciplin? facultativ?*",$B$22,"&lt;&gt;*Examen de diplom?*"),$X$28,"")</f>
        <v>DA</v>
      </c>
      <c r="BQ491" s="206">
        <f t="shared" ref="BQ491:BQ498" si="33">IF($AV491="","",IF($BC491&lt;&gt;"",$BC491,0)+IF($BI491&lt;&gt;"",$BI491,0)+IF($BM491&lt;&gt;"",$BM491,0))</f>
        <v>5.4</v>
      </c>
      <c r="BR491" s="202">
        <f>IF($AV$481="","",IF($NF$481&lt;&gt;"",$NF$481,0)+IF($NL$481&lt;&gt;"",$NL$481,0)+IF($NN$481&lt;&gt;"",$NN$481,0))</f>
        <v>0</v>
      </c>
      <c r="BS491" s="331">
        <f t="shared" ref="BS491:BS509" si="34">IF(SUM(BA491:BB491)&gt;0,1,0)</f>
        <v>1</v>
      </c>
      <c r="BT491" s="208" t="str">
        <f t="shared" si="27"/>
        <v>2023</v>
      </c>
      <c r="BU491" s="197"/>
      <c r="BV491" s="197"/>
      <c r="BW491" s="197"/>
      <c r="BX491" s="202">
        <f>SUM(S28:V28)</f>
        <v>14</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M434.23.02.V3-ij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6.7</v>
      </c>
      <c r="BN492" s="206">
        <f>IF(COUNTIFS($B$29,"&lt;&gt;"&amp;"",$B$29,"&lt;&gt;practic?*",$B$29,"&lt;&gt;*Elaborare proiect de diplom?*",$B$29,"&lt;&gt;*op?ional*",$B$29,"&lt;&gt;*Disciplin? facultativ?*", $B$29,"&lt;&gt;*Examen de diplom?*"),$Y$31,"")</f>
        <v>94</v>
      </c>
      <c r="BO492" s="326" t="str">
        <f>IF($AV492="","",$Q$31)</f>
        <v/>
      </c>
      <c r="BP492" s="214" t="str">
        <f>IF(COUNTIFS($B$25,"&lt;&gt;"&amp;"",$B$25,"&lt;&gt;practic?*",$B$25,"&lt;&gt;*op?ional*",$B$25,"&lt;&gt;*Disciplin? facultativ?*",$B$25,"&lt;&gt;*Examen de diplom?*"),$X$31,"")</f>
        <v>DCAV</v>
      </c>
      <c r="BQ492" s="206" t="str">
        <f t="shared" si="33"/>
        <v/>
      </c>
      <c r="BR492" s="202">
        <f>IF($AV$482="","",IF($NF$482&lt;&gt;"",$NF$482,0)+IF($NL$482&lt;&gt;"",$NL$482,0)+IF($NN$482&lt;&gt;"",$NN$482,0))</f>
        <v>0</v>
      </c>
      <c r="BS492" s="331">
        <f t="shared" si="34"/>
        <v>0</v>
      </c>
      <c r="BT492" s="208" t="str">
        <f t="shared" si="27"/>
        <v/>
      </c>
      <c r="BU492" s="197"/>
      <c r="BV492" s="197"/>
      <c r="BW492" s="197"/>
      <c r="BX492" s="202">
        <f>SUM(S31:V31)</f>
        <v>56</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M434.23.02.S4</v>
      </c>
      <c r="AU493" s="204">
        <v>4</v>
      </c>
      <c r="AV493" s="204" t="str">
        <f>IF(COUNTIFS($N$32,"&lt;&gt;"&amp;"",$N$32,"&lt;&gt;*op?ional*",$N$32,"&lt;&gt;*Disciplin? facultativ?*"),$N$32,"")</f>
        <v>Oboseala și integritate structurală</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6.7</v>
      </c>
      <c r="BN493" s="206">
        <f>IF(COUNTIFS($B$32,"&lt;&gt;"&amp;"",$B$32,"&lt;&gt;practic?*",$B$32,"&lt;&gt;*Elaborare proiect de diplom?*",$B$32,"&lt;&gt;*op?ional*",$B$32,"&lt;&gt;*Disciplin? facultativ?*", $B$32,"&lt;&gt;*Examen de diplom?*"),$Y$34,"")</f>
        <v>94</v>
      </c>
      <c r="BO493" s="326">
        <f>IF($AV493="","",$Q$34)</f>
        <v>6</v>
      </c>
      <c r="BP493" s="214" t="str">
        <f>IF(COUNTIFS($B$28,"&lt;&gt;"&amp;"",$B$28,"&lt;&gt;practic?*",$B$28,"&lt;&gt;*op?ional*",$B$28,"&lt;&gt;*Disciplin? facultativ?*",$B$28,"&lt;&gt;*Examen de diplom?*"),$X$34,"")</f>
        <v>DS</v>
      </c>
      <c r="BQ493" s="206">
        <f t="shared" si="33"/>
        <v>10.7</v>
      </c>
      <c r="BR493" s="202">
        <f>IF($AV$483="","",IF($NF$483&lt;&gt;"",$NF$483,0)+IF($NL$483&lt;&gt;"",$NL$483,0)+IF($NN$483&lt;&gt;"",$NN$483,0))</f>
        <v>0</v>
      </c>
      <c r="BS493" s="331">
        <f t="shared" si="34"/>
        <v>1</v>
      </c>
      <c r="BT493" s="208" t="str">
        <f t="shared" si="27"/>
        <v>2023</v>
      </c>
      <c r="BU493" s="197"/>
      <c r="BV493" s="197"/>
      <c r="BW493" s="197"/>
      <c r="BX493" s="202">
        <f>SUM(S34:V34)</f>
        <v>56</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M434.23.02.S5</v>
      </c>
      <c r="AU494" s="202">
        <v>5</v>
      </c>
      <c r="AV494" s="204" t="str">
        <f>IF(COUNTIFS($N$35,"&lt;&gt;"&amp;"",$N$35,"&lt;&gt;*op?ional*",$N$35,"&lt;&gt;*Disciplin? facultativ?*"),$N$35,"")</f>
        <v xml:space="preserve">Etică și integritate academică </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DS</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M434.23.02.S6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M434.23.03.V1</v>
      </c>
      <c r="AU500" s="204">
        <v>1</v>
      </c>
      <c r="AV500" s="204" t="str">
        <f>IF(COUNTIFS($B$65,"&lt;&gt;"&amp;"",$B$65,"&lt;&gt;*op?ional*",$B$65,"&lt;&gt;*Disciplin? facultativ?*"),$B$65,"")</f>
        <v>Materiale compozite. Caracterizare și aplicații</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1">
        <f>IF(SUM(BA500:BB500)&gt;0,1,0)</f>
        <v>1</v>
      </c>
      <c r="BT500" s="208" t="str">
        <f t="shared" si="27"/>
        <v>2024</v>
      </c>
      <c r="BU500" s="197"/>
      <c r="BV500" s="197"/>
      <c r="BW500" s="197"/>
      <c r="BX500" s="202">
        <f>SUM(G67:J67)</f>
        <v>56</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M434.23.03.A2</v>
      </c>
      <c r="AU501" s="202">
        <v>2</v>
      </c>
      <c r="AV501" s="204" t="str">
        <f>IF(COUNTIFS($B$68,"&lt;&gt;"&amp;"",$B$68,"&lt;&gt;*op?ional*",$B$68,"&lt;&gt;*Disciplin? facultativ?*"),$B$68,"")</f>
        <v>Tehnici de măsurare și prelucrarea datelor</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6">
        <f>IF($AV501="","",$E$70)</f>
        <v>6</v>
      </c>
      <c r="BP501" s="214" t="str">
        <f>IF(COUNTIFS($B$22,"&lt;&gt;"&amp;"",$B$22,"&lt;&gt;practic?*",$B$22,"&lt;&gt;*op?ional*",$B$22,"&lt;&gt;*Disciplin? facultativ?*",$B$22,"&lt;&gt;*Examen de diplom?*"),$L$70,"")</f>
        <v>DA</v>
      </c>
      <c r="BQ501" s="206">
        <f t="shared" ref="BQ501:BQ508" si="40">IF($AV501="","",IF($BC501&lt;&gt;"",$BC501,0)+IF($BI501&lt;&gt;"",$BI501,0)+IF($BM501&lt;&gt;"",$BM501,0))</f>
        <v>10.7</v>
      </c>
      <c r="BR501" s="202">
        <f>IF($AV$481="","",IF($BF$481&lt;&gt;"",$BF$481,0)+IF($BL$481&lt;&gt;"",$BL$481,0)+IF($BN$481&lt;&gt;"",$BN$481,0))</f>
        <v>150</v>
      </c>
      <c r="BS501" s="331">
        <f t="shared" ref="BS501:BS508" si="41">IF(SUM(BA501:BB501)&gt;0,1,0)</f>
        <v>1</v>
      </c>
      <c r="BT501" s="208" t="str">
        <f t="shared" si="27"/>
        <v>2024</v>
      </c>
      <c r="BU501" s="197"/>
      <c r="BV501" s="197"/>
      <c r="BW501" s="197"/>
      <c r="BX501" s="202">
        <f>SUM(G70:J70)</f>
        <v>56</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M434.23.03.S3-ij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6" t="str">
        <f>IF($AV502="","",$E$73)</f>
        <v/>
      </c>
      <c r="BP502" s="214" t="str">
        <f>IF(COUNTIFS($B$25,"&lt;&gt;"&amp;"",$B$25,"&lt;&gt;practic?*",$B$25,"&lt;&gt;*op?ional*",$B$25,"&lt;&gt;*Disciplin? facultativ?*",$B$25,"&lt;&gt;*Examen de diplom?*"),$L$73,"")</f>
        <v>DS</v>
      </c>
      <c r="BQ502" s="206" t="str">
        <f t="shared" si="40"/>
        <v/>
      </c>
      <c r="BR502" s="202">
        <f>IF($AV$482="","",IF($BF$482&lt;&gt;"",$BF$482,0)+IF($BL$482&lt;&gt;"",$BL$482,0)+IF($BN$482&lt;&gt;"",$BN$482,0))</f>
        <v>150</v>
      </c>
      <c r="BS502" s="331">
        <f t="shared" si="41"/>
        <v>0</v>
      </c>
      <c r="BT502" s="208" t="str">
        <f t="shared" si="27"/>
        <v/>
      </c>
      <c r="BU502" s="197"/>
      <c r="BV502" s="197"/>
      <c r="BW502" s="197"/>
      <c r="BX502" s="202">
        <f>SUM(G73:J73)</f>
        <v>56</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M434.23.03.A4</v>
      </c>
      <c r="AU503" s="202">
        <v>4</v>
      </c>
      <c r="AV503" s="204" t="str">
        <f>IF(COUNTIFS($B$74,"&lt;&gt;"&amp;"",$B$74,"&lt;&gt;*op?ional*",$B$74,"&lt;&gt;*Disciplin? facultativ?*"),$B$74,"")</f>
        <v>Teorie și aplicații de fabricare aditivă</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2</v>
      </c>
      <c r="BB503" s="204">
        <f>IF(COUNTIFS($B$74,"&lt;&gt;"&amp;"",$B$74,"&lt;&gt;practic?*",$B$74,"&lt;&gt;*Elaborare proiect de diplom?*",$B$74,"&lt;&gt;*op?ional*",$B$74,"&lt;&gt;*Disciplin? facultativ?*", $B$74,"&lt;&gt;*Examen de diplom?*"),ROUND(($H$76+$I$76+$J$76)/14,1),"")</f>
        <v>1</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28</v>
      </c>
      <c r="BE503" s="204">
        <f>IF(COUNTIFS($B$74,"&lt;&gt;"&amp;"",$B$74,"&lt;&gt;practic?*",$B$74,"&lt;&gt;*Elaborare proiect de diplom?*",$B$74,"&lt;&gt;*op?ional*",$B$74,"&lt;&gt;*Disciplin? facultativ?*", $B$74,"&lt;&gt;*Examen de diplom?*"),($H$76+$I$76+$J$76),"")</f>
        <v>14</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5.9</v>
      </c>
      <c r="BN503" s="206">
        <f>IF(COUNTIFS($B$74,"&lt;&gt;"&amp;"",$B$74,"&lt;&gt;practic?*",$B$74,"&lt;&gt;*Elaborare proiect de diplom?*",$B$74,"&lt;&gt;*op?ional*",$B$74,"&lt;&gt;*Disciplin? facultativ?*", $B$74,"&lt;&gt;*Examen de diplom?*"),$M$76,"")</f>
        <v>83</v>
      </c>
      <c r="BO503" s="326">
        <f>IF($AV503="","",$E$76)</f>
        <v>5</v>
      </c>
      <c r="BP503" s="214" t="str">
        <f>IF(COUNTIFS($B$28,"&lt;&gt;"&amp;"",$B$28,"&lt;&gt;practic?*",$B$28,"&lt;&gt;*op?ional*",$B$28,"&lt;&gt;*Disciplin? facultativ?*",$B$28,"&lt;&gt;*Examen de diplom?*"),$L$76,"")</f>
        <v>DA</v>
      </c>
      <c r="BQ503" s="206">
        <f t="shared" si="40"/>
        <v>8.9</v>
      </c>
      <c r="BR503" s="202">
        <f>IF($AV$483="","",IF($BF$483&lt;&gt;"",$BF$483,0)+IF($BL$483&lt;&gt;"",$BL$483,0)+IF($BN$483&lt;&gt;"",$BN$483,0))</f>
        <v>125</v>
      </c>
      <c r="BS503" s="331">
        <f t="shared" si="41"/>
        <v>1</v>
      </c>
      <c r="BT503" s="208" t="str">
        <f t="shared" si="27"/>
        <v>2024</v>
      </c>
      <c r="BU503" s="197"/>
      <c r="BV503" s="197"/>
      <c r="BW503" s="197"/>
      <c r="BX503" s="202">
        <f>SUM(G76:J76)</f>
        <v>42</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M434.23.03.S5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M434.23.04.S1</v>
      </c>
      <c r="AU510" s="204">
        <v>1</v>
      </c>
      <c r="AV510" s="204" t="str">
        <f>IF(COUNTIFS($N$65,"&lt;&gt;"&amp;"",$N$65,"&lt;&gt;*op?ional*",$N$65,"&lt;&gt;*Disciplin? facultativ?*"),$N$65,"")</f>
        <v>PRACTICĂ PROFESIONALĂ 4</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8.9</v>
      </c>
      <c r="BJ510" s="204"/>
      <c r="BK510" s="204" t="str">
        <f>IF(COUNTIF($AV510,"=*Elaborare proiect de diplom?*"),$V$21,"")</f>
        <v/>
      </c>
      <c r="BL510" s="206">
        <f>IF(COUNTIFS($B$65,"&lt;&gt;"&amp;"",$B$65,"&lt;&gt;practic?*",$B$65,"&lt;&gt;*Elaborare proiect de diplom?*",$B$65,"&lt;&gt;*op?ional*",$B$65,"&lt;&gt;*Disciplin? facultativ?*", $B$65,"&lt;&gt;*Examen de diplom?*"),$W$67,"")</f>
        <v>124</v>
      </c>
      <c r="BM510" s="206">
        <f>ROUND(BN510/14,1)</f>
        <v>9</v>
      </c>
      <c r="BN510" s="206">
        <f>IF(COUNTIFS($B$65,"&lt;&gt;"&amp;"",$B$65,"&lt;&gt;practic?*",$B$65,"&lt;&gt;*Elaborare proiect de diplom?*",$B$65,"&lt;&gt;*op?ional*",$B$65,"&lt;&gt;*Disciplin? facultativ?*", $B$65,"&lt;&gt;*Examen de diplom?*"),$Y$67,"")</f>
        <v>126</v>
      </c>
      <c r="BO510" s="204">
        <f>IF($AV510="","",$Q$67)</f>
        <v>10</v>
      </c>
      <c r="BP510" s="206" t="str">
        <f>IF(COUNTIFS($B$65,"&lt;&gt;"&amp;"",$B$65,"&lt;&gt;practic?*",$B$65,"&lt;&gt;*op?ional*",$B$65,"&lt;&gt;*Disciplin? facultativ?*",$B$65,"&lt;&gt;*Examen de diplom?*"),$X$67,"")</f>
        <v>DS</v>
      </c>
      <c r="BQ510" s="206">
        <f>IF($AV510="","",IF($BC510&lt;&gt;"",$BC510,0)+IF($BI510&lt;&gt;"",$BI510,0)+IF($BM510&lt;&gt;"",$BM510,0))</f>
        <v>17.899999999999999</v>
      </c>
      <c r="BR510" s="204">
        <f>IF($AV$480="","",IF($NF$480&lt;&gt;"",$NF$480,0)+IF($NL$480&lt;&gt;"",$NL$480,0)+IF($NN$480&lt;&gt;"",$NN$480,0))</f>
        <v>0</v>
      </c>
      <c r="BS510" s="331">
        <f>IF(SUM(BA510:BB510)&gt;0,1,0)</f>
        <v>0</v>
      </c>
      <c r="BT510" s="208" t="str">
        <f t="shared" si="27"/>
        <v>2024</v>
      </c>
      <c r="BU510" s="197"/>
      <c r="BV510" s="197"/>
      <c r="BW510" s="197"/>
      <c r="BX510" s="202">
        <f>SUM(S67:V67)</f>
        <v>0</v>
      </c>
      <c r="BY510" s="514">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M434.23.04.S2</v>
      </c>
      <c r="AU511" s="202">
        <v>2</v>
      </c>
      <c r="AV511" s="204" t="str">
        <f>IF(COUNTIFS($N$68,"&lt;&gt;"&amp;"",$N$68,"&lt;&gt;*op?ional*",$N$68,"&lt;&gt;*Disciplin? facultativ?*"),$N$68,"")</f>
        <v>Practică pentru 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t="str">
        <f>IF(COUNTIFS($N$68,"&lt;&gt;"&amp;"",$N$68,"&lt;&gt;practic?*",$N$68,"&lt;&gt;*Elaborare proiect de diplom?*",$N$68,"&lt;&gt;*op?ional*",$N$68,"&lt;&gt;*Disciplin? facultativ?*", $N$68,"&lt;&gt;*Examen de diplom?*"),ROUND($S$70/14,1),"")</f>
        <v/>
      </c>
      <c r="BB511" s="204" t="str">
        <f>IF(COUNTIFS($N$68,"&lt;&gt;"&amp;"",$N$68,"&lt;&gt;practic?*",$N$68,"&lt;&gt;*Elaborare proiect de diplom?*",$N$68,"&lt;&gt;*op?ional*",$N$68,"&lt;&gt;*Disciplin? facultativ?*", $N$68,"&lt;&gt;*Examen de diplom?*"),ROUND(($T$70+$U$70+$V$70)/14,1),"")</f>
        <v/>
      </c>
      <c r="BC511" s="204" t="str">
        <f>IF(COUNTIFS($N$68,"&lt;&gt;"&amp;"",$N$68,"&lt;&gt;practic?*",$N$68,"&lt;&gt;*Elaborare proiect de diplom?*",$N$68,"&lt;&gt;*op?ional*",$N$68,"&lt;&gt;*Disciplin? facultativ?*", $N$68,"&lt;&gt;*Examen de diplom?*"),ROUND(($S$70+$T$70+$U$70+$V$70)/14,1),"")</f>
        <v/>
      </c>
      <c r="BD511" s="206" t="str">
        <f>IF(COUNTIFS($N$68,"&lt;&gt;"&amp;"",$N$68,"&lt;&gt;practic?*",$N$68,"&lt;&gt;*Elaborare proiect de diplom?*",$N$68,"&lt;&gt;*op?ional*",$N$68,"&lt;&gt;*Disciplin? facultativ?*", $N$68,"&lt;&gt;*Examen de diplom?*"),$S$70,"")</f>
        <v/>
      </c>
      <c r="BE511" s="204" t="str">
        <f>IF(COUNTIFS($N$68,"&lt;&gt;"&amp;"",$N$68,"&lt;&gt;practic?*",$N$68,"&lt;&gt;*Elaborare proiect de diplom?*",$N$68,"&lt;&gt;*op?ional*",$N$68,"&lt;&gt;*Disciplin? facultativ?*", $N$68,"&lt;&gt;*Examen de diplom?*"),($T$70+$U$70+$V$70),"")</f>
        <v/>
      </c>
      <c r="BF511" s="204" t="str">
        <f>IF(COUNTIFS($N$68,"&lt;&gt;"&amp;"",$N$68,"&lt;&gt;practic?*",$N$68,"&lt;&gt;*Elaborare proiect de diplom?*",$N$68,"&lt;&gt;*op?ional*",$N$68,"&lt;&gt;*Disciplin? facultativ?*", $N$68,"&lt;&gt;*Examen de diplom?*"),($S$70+$T$70+$U$70+$V$70),"")</f>
        <v/>
      </c>
      <c r="BG511" s="202"/>
      <c r="BH511" s="204" t="str">
        <f>IF(COUNTIF($AV511,"=*Elaborare proiect de diplom?*"),ROUND($V$24/14,1),"")</f>
        <v/>
      </c>
      <c r="BI511" s="206">
        <f t="shared" ref="BI511:BI518" si="45">ROUND(BL511/14,1)</f>
        <v>8.6</v>
      </c>
      <c r="BJ511" s="202"/>
      <c r="BK511" s="204" t="str">
        <f>IF(COUNTIF($AV511,"=*Elaborare proiect de diplom?*"),$V$24,"")</f>
        <v/>
      </c>
      <c r="BL511" s="206">
        <f>IF(COUNTIFS($B$68,"&lt;&gt;"&amp;"",$B$68,"&lt;&gt;practic?*",$B$68,"&lt;&gt;*Elaborare proiect de diplom?*",$B$68,"&lt;&gt;*op?ional*",$B$68,"&lt;&gt;*Disciplin? facultativ?*", $B$68,"&lt;&gt;*Examen de diplom?*"),$W$70,"")</f>
        <v>120</v>
      </c>
      <c r="BM511" s="206">
        <f t="shared" ref="BM511:BM518" si="46">ROUND(BN511/14,1)</f>
        <v>9.3000000000000007</v>
      </c>
      <c r="BN511" s="206">
        <f>IF(COUNTIFS($B$68,"&lt;&gt;"&amp;"",$B$68,"&lt;&gt;practic?*",$B$68,"&lt;&gt;*Elaborare proiect de diplom?*",$B$68,"&lt;&gt;*op?ional*",$B$68,"&lt;&gt;*Disciplin? facultativ?*", $B$68,"&lt;&gt;*Examen de diplom?*"),$Y$70,"")</f>
        <v>130</v>
      </c>
      <c r="BO511" s="326">
        <f>IF($AV511="","",$Q$70)</f>
        <v>10</v>
      </c>
      <c r="BP511" s="214" t="str">
        <f>IF(COUNTIFS($B$22,"&lt;&gt;"&amp;"",$B$22,"&lt;&gt;practic?*",$B$22,"&lt;&gt;*op?ional*",$B$22,"&lt;&gt;*Disciplin? facultativ?*",$B$22,"&lt;&gt;*Examen de diplom?*"),$X$70,"")</f>
        <v>DS</v>
      </c>
      <c r="BQ511" s="206">
        <f t="shared" ref="BQ511:BQ518" si="47">IF($AV511="","",IF($BC511&lt;&gt;"",$BC511,0)+IF($BI511&lt;&gt;"",$BI511,0)+IF($BM511&lt;&gt;"",$BM511,0))</f>
        <v>17.899999999999999</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M434.23.04.S3</v>
      </c>
      <c r="AU512" s="202">
        <v>3</v>
      </c>
      <c r="AV512" s="204" t="str">
        <f>IF(COUNTIFS($N$71,"&lt;&gt;"&amp;"",$N$71,"&lt;&gt;*op?ional*",$N$71,"&lt;&gt;*Disciplin? facultativ?*"),$N$71,"")</f>
        <v>Elaborarea lucrării de disertaţie</v>
      </c>
      <c r="AW512" s="204">
        <f t="shared" si="42"/>
        <v>2</v>
      </c>
      <c r="AX512" s="204" t="str">
        <f t="shared" si="43"/>
        <v>4</v>
      </c>
      <c r="AY512" s="204" t="str">
        <f>IF($AV512="","",$R$73)</f>
        <v>C</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6">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1">
        <f t="shared" si="48"/>
        <v>0</v>
      </c>
      <c r="BT512" s="208" t="str">
        <f t="shared" si="27"/>
        <v>2024</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M434.23.04.S4</v>
      </c>
      <c r="AU513" s="204">
        <v>4</v>
      </c>
      <c r="AV513" s="204" t="str">
        <f>IF(COUNTIFS($N$74,"&lt;&gt;"&amp;"",$N$74,"&lt;&gt;*op?ional*",$N$74,"&lt;&gt;*Disciplin? facultativ?*"),$N$74,"")</f>
        <v>Examen de disertație</v>
      </c>
      <c r="AW513" s="204">
        <f t="shared" si="42"/>
        <v>2</v>
      </c>
      <c r="AX513" s="204" t="str">
        <f t="shared" si="43"/>
        <v>4</v>
      </c>
      <c r="AY513" s="204" t="str">
        <f>IF($AV513="","",$R$76)</f>
        <v>E</v>
      </c>
      <c r="AZ513" s="204" t="str">
        <f t="shared" si="44"/>
        <v>DI</v>
      </c>
      <c r="BA513" s="204">
        <f>IF(COUNTIFS($N$74,"&lt;&gt;"&amp;"",$N$74,"&lt;&gt;practic?*",$N$74,"&lt;&gt;*Elaborare proiect de diplom?*",$N$74,"&lt;&gt;*op?ional*",$N$74,"&lt;&gt;*Disciplin? facultativ?*", $N$74,"&lt;&gt;*Examen de diplom?*"),ROUND($S$76/14,1),"")</f>
        <v>0</v>
      </c>
      <c r="BB513" s="204">
        <f>IF(COUNTIFS($N$74,"&lt;&gt;"&amp;"",$N$74,"&lt;&gt;practic?*",$N$74,"&lt;&gt;*Elaborare proiect de diplom?*",$N$74,"&lt;&gt;*op?ional*",$N$74,"&lt;&gt;*Disciplin? facultativ?*", $N$74,"&lt;&gt;*Examen de diplom?*"),ROUND(($T$76+$U$76+$V$76)/14,1),"")</f>
        <v>0</v>
      </c>
      <c r="BC513" s="204">
        <f>IF(COUNTIFS($N$74,"&lt;&gt;"&amp;"",$N$74,"&lt;&gt;practic?*",$N$74,"&lt;&gt;*Elaborare proiect de diplom?*",$N$74,"&lt;&gt;*op?ional*",$N$74,"&lt;&gt;*Disciplin? facultativ?*", $N$74,"&lt;&gt;*Examen de diplom?*"),ROUND(($S$76+$T$76+$U$76+$V$76)/14,1),"")</f>
        <v>0</v>
      </c>
      <c r="BD513" s="206">
        <f>IF(COUNTIFS($N$74,"&lt;&gt;"&amp;"",$N$74,"&lt;&gt;practic?*",$N$74,"&lt;&gt;*Elaborare proiect de diplom?*",$N$74,"&lt;&gt;*op?ional*",$N$74,"&lt;&gt;*Disciplin? facultativ?*", $N$74,"&lt;&gt;*Examen de diplom?*"),$S$76,"")</f>
        <v>0</v>
      </c>
      <c r="BE513" s="204">
        <f>IF(COUNTIFS($N$74,"&lt;&gt;"&amp;"",$N$74,"&lt;&gt;practic?*",$N$74,"&lt;&gt;*Elaborare proiect de diplom?*",$N$74,"&lt;&gt;*op?ional*",$N$74,"&lt;&gt;*Disciplin? facultativ?*", $N$74,"&lt;&gt;*Examen de diplom?*"),($T$76+$U$76+$V$76),"")</f>
        <v>0</v>
      </c>
      <c r="BF513" s="204">
        <f>IF(COUNTIFS($N$74,"&lt;&gt;"&amp;"",$N$74,"&lt;&gt;practic?*",$N$74,"&lt;&gt;*Elaborare proiect de diplom?*",$N$74,"&lt;&gt;*op?ional*",$N$74,"&lt;&gt;*Disciplin? facultativ?*", $N$74,"&lt;&gt;*Examen de diplom?*"),($S$76+$T$76+$U$76+$V$76),"")</f>
        <v>0</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f>IF($AV513="","",$Q$76)</f>
        <v>10</v>
      </c>
      <c r="BP513" s="214" t="str">
        <f>IF(COUNTIFS($B$28,"&lt;&gt;"&amp;"",$B$28,"&lt;&gt;practic?*",$B$28,"&lt;&gt;*op?ional*",$B$28,"&lt;&gt;*Disciplin? facultativ?*",$B$28,"&lt;&gt;*Examen de diplom?*"),$X$76,"")</f>
        <v>DS</v>
      </c>
      <c r="BQ513" s="206">
        <f t="shared" si="47"/>
        <v>0</v>
      </c>
      <c r="BR513" s="202">
        <f>IF($AV$483="","",IF($NF$483&lt;&gt;"",$NF$483,0)+IF($NL$483&lt;&gt;"",$NL$483,0)+IF($NN$483&lt;&gt;"",$NN$483,0))</f>
        <v>0</v>
      </c>
      <c r="BS513" s="331">
        <f t="shared" si="48"/>
        <v>0</v>
      </c>
      <c r="BT513" s="208" t="str">
        <f t="shared" si="27"/>
        <v>2024</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M434.23.02.V3-01</v>
      </c>
      <c r="AU534" s="204">
        <v>1</v>
      </c>
      <c r="AV534" s="204" t="str">
        <f>IF(COUNTIFS($N$113,"&lt;&gt;"&amp;""),$N$113,"")</f>
        <v>Opțional 1. Metode statistice in analiza si prelucrarea datelor</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M434.23.02.V3-02</v>
      </c>
      <c r="AU535" s="202">
        <v>2</v>
      </c>
      <c r="AV535" s="204" t="str">
        <f>IF(COUNTIFS($N$116,"&lt;&gt;"&amp;""),$N$116,"")</f>
        <v>Opțional 1.Calcul tensorial</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M434.23.03.S3-01</v>
      </c>
      <c r="AU545" s="204">
        <v>1</v>
      </c>
      <c r="AV545" s="204" t="str">
        <f>IF(COUNTIFS($B$151,"&lt;&gt;"&amp;""),$B$151,"")</f>
        <v>Opțional 2. Managementul asigurarii calitatii in inginerie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M434.23.03.S3-02</v>
      </c>
      <c r="AU546" s="204">
        <v>2</v>
      </c>
      <c r="AV546" s="204" t="str">
        <f>IF(COUNTIFS($B$154,"&lt;&gt;"&amp;""),$B$154,"")</f>
        <v>Opțional 2. Controlul digital al sistemelor mecanice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90" zoomScaleNormal="90"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Inginerie Mecanică Avansată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10</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3.25" x14ac:dyDescent="0.35">
      <c r="H32" s="275" t="s">
        <v>123</v>
      </c>
    </row>
    <row r="33" spans="1:22" s="248" customFormat="1" ht="23.25" x14ac:dyDescent="0.35">
      <c r="A33" s="248" t="s">
        <v>124</v>
      </c>
      <c r="G33" s="249">
        <f>SUM(G34:G36)</f>
        <v>20</v>
      </c>
      <c r="H33" s="276">
        <v>1</v>
      </c>
      <c r="I33" s="277"/>
    </row>
    <row r="34" spans="1:22" s="248" customFormat="1" ht="23.25" x14ac:dyDescent="0.35">
      <c r="A34" s="248" t="s">
        <v>125</v>
      </c>
      <c r="G34" s="249">
        <f>MASTER!AW423</f>
        <v>12</v>
      </c>
      <c r="H34" s="278">
        <f>G34/G33</f>
        <v>0.6</v>
      </c>
      <c r="I34" s="277"/>
      <c r="K34" s="248" t="s">
        <v>126</v>
      </c>
      <c r="P34" s="279"/>
    </row>
    <row r="35" spans="1:22" s="248" customFormat="1" ht="23.25" x14ac:dyDescent="0.35">
      <c r="A35" s="248" t="s">
        <v>127</v>
      </c>
      <c r="G35" s="249">
        <f>MASTER!AX423</f>
        <v>2</v>
      </c>
      <c r="H35" s="278">
        <f>G35/G33</f>
        <v>0.1</v>
      </c>
      <c r="I35" s="280"/>
    </row>
    <row r="36" spans="1:22" s="248" customFormat="1" ht="20.25" customHeight="1" x14ac:dyDescent="0.35">
      <c r="A36" s="281" t="s">
        <v>128</v>
      </c>
      <c r="B36" s="274"/>
      <c r="C36" s="274"/>
      <c r="D36" s="274"/>
      <c r="E36" s="274"/>
      <c r="F36" s="274"/>
      <c r="G36" s="249">
        <f>MASTER!AY423</f>
        <v>6</v>
      </c>
      <c r="H36" s="278">
        <f>G36/G33</f>
        <v>0.3</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3.25" x14ac:dyDescent="0.35"/>
    <row r="42" spans="1:22" s="248" customFormat="1" ht="23.25" x14ac:dyDescent="0.35">
      <c r="A42" s="536" t="s">
        <v>196</v>
      </c>
      <c r="B42" s="538" t="s">
        <v>197</v>
      </c>
      <c r="C42" s="539"/>
      <c r="D42" s="539"/>
      <c r="E42" s="540"/>
      <c r="F42" s="541" t="s">
        <v>235</v>
      </c>
      <c r="G42" s="283"/>
      <c r="H42" s="283"/>
      <c r="I42" s="283"/>
    </row>
    <row r="43" spans="1:22" s="248" customFormat="1" ht="23.25" x14ac:dyDescent="0.35">
      <c r="A43" s="537"/>
      <c r="B43" s="282" t="s">
        <v>198</v>
      </c>
      <c r="C43" s="282" t="s">
        <v>199</v>
      </c>
      <c r="D43" s="282" t="s">
        <v>200</v>
      </c>
      <c r="E43" s="284" t="s">
        <v>201</v>
      </c>
      <c r="F43" s="542"/>
    </row>
    <row r="44" spans="1:22" s="248" customFormat="1" ht="23.25" x14ac:dyDescent="0.35">
      <c r="A44" s="354" t="s">
        <v>202</v>
      </c>
      <c r="B44" s="285">
        <f>MASTER!E53/14</f>
        <v>15</v>
      </c>
      <c r="C44" s="285">
        <f>MASTER!Q53/14</f>
        <v>14.5</v>
      </c>
      <c r="D44" s="285">
        <f>MASTER!E95/14</f>
        <v>15</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593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120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1.069767441860465</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3.25" x14ac:dyDescent="0.35"/>
    <row r="61" spans="1:22" ht="23.25" x14ac:dyDescent="0.35">
      <c r="A61" s="533" t="s">
        <v>209</v>
      </c>
      <c r="B61" s="533"/>
      <c r="C61" s="533"/>
      <c r="D61" s="533"/>
      <c r="E61" s="533"/>
      <c r="F61" s="533"/>
      <c r="G61" s="533"/>
      <c r="H61" s="533"/>
      <c r="I61" s="533"/>
      <c r="J61" s="533"/>
      <c r="K61" s="533"/>
      <c r="L61" s="533"/>
      <c r="M61" s="533"/>
    </row>
    <row r="62" spans="1:22" ht="23.25" x14ac:dyDescent="0.35">
      <c r="A62" s="533" t="s">
        <v>210</v>
      </c>
      <c r="B62" s="533"/>
      <c r="C62" s="533"/>
      <c r="D62" s="533"/>
      <c r="E62" s="533"/>
      <c r="F62" s="533"/>
      <c r="G62" s="533"/>
      <c r="H62" s="533"/>
      <c r="I62" s="533"/>
      <c r="J62" s="533"/>
      <c r="K62" s="533"/>
      <c r="L62" s="533"/>
      <c r="M62" s="533"/>
    </row>
    <row r="63" spans="1:22" ht="23.25" x14ac:dyDescent="0.35">
      <c r="A63" s="533" t="s">
        <v>211</v>
      </c>
      <c r="B63" s="533"/>
      <c r="C63" s="533"/>
      <c r="D63" s="533"/>
      <c r="E63" s="533"/>
      <c r="F63" s="533"/>
      <c r="G63" s="533"/>
      <c r="H63" s="533"/>
      <c r="I63" s="533"/>
      <c r="J63" s="533"/>
      <c r="K63" s="533"/>
      <c r="L63" s="533"/>
      <c r="M63" s="53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M434.23.01.A1</v>
      </c>
      <c r="B3" s="57">
        <f>MASTER!AU480</f>
        <v>1</v>
      </c>
      <c r="C3" s="57" t="str">
        <f>MASTER!AV480</f>
        <v xml:space="preserve">Teoria elasticității și plasticității </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Inginerie Mecanică</v>
      </c>
      <c r="AB3">
        <f>MASTER!C$17</f>
        <v>10</v>
      </c>
      <c r="AC3" t="str">
        <f>MASTER!H$7</f>
        <v>Inginerie Mecanică Avansată</v>
      </c>
      <c r="AD3">
        <f>MASTER!A$17</f>
        <v>20</v>
      </c>
      <c r="AE3">
        <f>MASTER!B$17</f>
        <v>70</v>
      </c>
      <c r="AF3">
        <f>MASTER!D$17</f>
        <v>0</v>
      </c>
      <c r="AG3" t="str">
        <f>MASTER!BT480</f>
        <v>2023</v>
      </c>
    </row>
    <row r="4" spans="1:33" x14ac:dyDescent="0.2">
      <c r="A4" s="57" t="str">
        <f>MASTER!AT481</f>
        <v>M434.23.01.A2</v>
      </c>
      <c r="B4" s="57">
        <f>MASTER!AU481</f>
        <v>2</v>
      </c>
      <c r="C4" s="57" t="str">
        <f>MASTER!AV481</f>
        <v>Metode numerice în analiza câmpurilor termice și a curgerii fluidelor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Inginerie Mecanică</v>
      </c>
      <c r="AB4">
        <f>MASTER!C$17</f>
        <v>10</v>
      </c>
      <c r="AC4" t="str">
        <f>MASTER!H$7</f>
        <v>Inginerie Mecanică Avansată</v>
      </c>
      <c r="AD4">
        <f>MASTER!A$17</f>
        <v>20</v>
      </c>
      <c r="AE4">
        <f>MASTER!B$17</f>
        <v>70</v>
      </c>
      <c r="AF4">
        <f>MASTER!D$17</f>
        <v>0</v>
      </c>
      <c r="AG4" t="str">
        <f>MASTER!BT481</f>
        <v>2023</v>
      </c>
    </row>
    <row r="5" spans="1:33" x14ac:dyDescent="0.2">
      <c r="A5" s="57" t="str">
        <f>MASTER!AT482</f>
        <v>M434.23.01.V3</v>
      </c>
      <c r="B5" s="57">
        <f>MASTER!AU482</f>
        <v>3</v>
      </c>
      <c r="C5" s="57" t="str">
        <f>MASTER!AV482</f>
        <v>Mașini unelte avansate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DCAV</v>
      </c>
      <c r="X5" s="57">
        <f>MASTER!BQ482</f>
        <v>10.7</v>
      </c>
      <c r="Y5" s="57">
        <f>MASTER!BR482</f>
        <v>150</v>
      </c>
      <c r="Z5" s="57">
        <f>MASTER!BS482</f>
        <v>1</v>
      </c>
      <c r="AA5" t="str">
        <f>MASTER!H$6</f>
        <v>Inginerie Mecanică</v>
      </c>
      <c r="AB5">
        <f>MASTER!C$17</f>
        <v>10</v>
      </c>
      <c r="AC5" t="str">
        <f>MASTER!H$7</f>
        <v>Inginerie Mecanică Avansată</v>
      </c>
      <c r="AD5">
        <f>MASTER!A$17</f>
        <v>20</v>
      </c>
      <c r="AE5">
        <f>MASTER!B$17</f>
        <v>70</v>
      </c>
      <c r="AF5">
        <f>MASTER!D$17</f>
        <v>0</v>
      </c>
      <c r="AG5" t="str">
        <f>MASTER!BT482</f>
        <v>2023</v>
      </c>
    </row>
    <row r="6" spans="1:33" x14ac:dyDescent="0.2">
      <c r="A6" s="57" t="str">
        <f>MASTER!AT483</f>
        <v>M434.23.01.S4</v>
      </c>
      <c r="B6" s="57">
        <f>MASTER!AU483</f>
        <v>4</v>
      </c>
      <c r="C6" s="57" t="str">
        <f>MASTER!AV483</f>
        <v>Dezvoltare de produs și evaluarea performanțelor</v>
      </c>
      <c r="D6" s="57">
        <f>MASTER!AW483</f>
        <v>1</v>
      </c>
      <c r="E6" s="57" t="str">
        <f>MASTER!AX483</f>
        <v>1</v>
      </c>
      <c r="F6" s="57" t="str">
        <f>MASTER!AY483</f>
        <v>E</v>
      </c>
      <c r="G6" s="57" t="str">
        <f>MASTER!AZ483</f>
        <v>DI</v>
      </c>
      <c r="H6" s="57">
        <f>MASTER!BA483</f>
        <v>2</v>
      </c>
      <c r="I6" s="57">
        <f>MASTER!BB483</f>
        <v>1</v>
      </c>
      <c r="J6" s="57">
        <f>MASTER!BC483</f>
        <v>3</v>
      </c>
      <c r="K6" s="57">
        <f>MASTER!BD483</f>
        <v>28</v>
      </c>
      <c r="L6" s="57">
        <f>MASTER!BE483</f>
        <v>14</v>
      </c>
      <c r="M6" s="57">
        <f>MASTER!BF483</f>
        <v>42</v>
      </c>
      <c r="N6" s="57">
        <f>MASTER!BG483</f>
        <v>0</v>
      </c>
      <c r="O6" s="57" t="str">
        <f>MASTER!BH483</f>
        <v/>
      </c>
      <c r="P6" s="57">
        <f>MASTER!BI483</f>
        <v>0</v>
      </c>
      <c r="Q6" s="57">
        <f>MASTER!BJ483</f>
        <v>0</v>
      </c>
      <c r="R6" s="57" t="str">
        <f>MASTER!BK483</f>
        <v/>
      </c>
      <c r="S6" s="57">
        <f>MASTER!BL483</f>
        <v>0</v>
      </c>
      <c r="T6" s="57">
        <f>MASTER!BM483</f>
        <v>5.9</v>
      </c>
      <c r="U6" s="57">
        <f>MASTER!BN483</f>
        <v>83</v>
      </c>
      <c r="V6" s="57">
        <f>MASTER!BO483</f>
        <v>5</v>
      </c>
      <c r="W6" s="57" t="str">
        <f>MASTER!BP483</f>
        <v>DS</v>
      </c>
      <c r="X6" s="57">
        <f>MASTER!BQ483</f>
        <v>8.9</v>
      </c>
      <c r="Y6" s="57">
        <f>MASTER!BR483</f>
        <v>125</v>
      </c>
      <c r="Z6" s="57">
        <f>MASTER!BS483</f>
        <v>1</v>
      </c>
      <c r="AA6" t="str">
        <f>MASTER!H$6</f>
        <v>Inginerie Mecanică</v>
      </c>
      <c r="AB6">
        <f>MASTER!C$17</f>
        <v>10</v>
      </c>
      <c r="AC6" t="str">
        <f>MASTER!H$7</f>
        <v>Inginerie Mecanică Avansată</v>
      </c>
      <c r="AD6">
        <f>MASTER!A$17</f>
        <v>20</v>
      </c>
      <c r="AE6">
        <f>MASTER!B$17</f>
        <v>70</v>
      </c>
      <c r="AF6">
        <f>MASTER!D$17</f>
        <v>0</v>
      </c>
      <c r="AG6" t="str">
        <f>MASTER!BT483</f>
        <v>2023</v>
      </c>
    </row>
    <row r="7" spans="1:33" x14ac:dyDescent="0.2">
      <c r="A7" s="57" t="str">
        <f>MASTER!AT484</f>
        <v>M434.23.01.S5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Mecanică</v>
      </c>
      <c r="AB7">
        <f>MASTER!C$17</f>
        <v>10</v>
      </c>
      <c r="AC7" t="str">
        <f>MASTER!H$7</f>
        <v>Inginerie Mecanică Avansată</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Inginerie Mecanică Avansată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Inginerie Mecanică Avansată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Inginerie Mecanică Avansată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Inginerie Mecanică Avansată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Inginerie Mecanică Avansată</v>
      </c>
      <c r="AD12">
        <f>MASTER!A$17</f>
        <v>20</v>
      </c>
      <c r="AE12">
        <f>MASTER!B$17</f>
        <v>70</v>
      </c>
      <c r="AF12">
        <f>MASTER!D$17</f>
        <v>0</v>
      </c>
      <c r="AG12" t="str">
        <f>MASTER!BT489</f>
        <v/>
      </c>
    </row>
    <row r="13" spans="1:33" x14ac:dyDescent="0.2">
      <c r="A13" s="57" t="str">
        <f>MASTER!AT490</f>
        <v>M434.23.02.A1</v>
      </c>
      <c r="B13" s="57">
        <f>MASTER!AU490</f>
        <v>1</v>
      </c>
      <c r="C13" s="57" t="str">
        <f>MASTER!AV490</f>
        <v>Metode  numerice de analiză a tensiunilor</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Inginerie Mecanică</v>
      </c>
      <c r="AB13">
        <f>MASTER!C$17</f>
        <v>10</v>
      </c>
      <c r="AC13" t="str">
        <f>MASTER!H$7</f>
        <v>Inginerie Mecanică Avansată</v>
      </c>
      <c r="AD13">
        <f>MASTER!A$17</f>
        <v>20</v>
      </c>
      <c r="AE13">
        <f>MASTER!B$17</f>
        <v>70</v>
      </c>
      <c r="AF13">
        <f>MASTER!D$17</f>
        <v>0</v>
      </c>
      <c r="AG13" t="str">
        <f>MASTER!BT490</f>
        <v>2023</v>
      </c>
    </row>
    <row r="14" spans="1:33" x14ac:dyDescent="0.2">
      <c r="A14" s="57" t="str">
        <f>MASTER!AT491</f>
        <v>M434.23.02.A2</v>
      </c>
      <c r="B14" s="57">
        <f>MASTER!AU491</f>
        <v>2</v>
      </c>
      <c r="C14" s="57" t="str">
        <f>MASTER!AV491</f>
        <v>Metode  numerice de analiză a tensiunilor</v>
      </c>
      <c r="D14" s="57">
        <f>MASTER!AW491</f>
        <v>1</v>
      </c>
      <c r="E14" s="57" t="str">
        <f>MASTER!AX491</f>
        <v>2</v>
      </c>
      <c r="F14" s="57" t="str">
        <f>MASTER!AY491</f>
        <v>D</v>
      </c>
      <c r="G14" s="57" t="str">
        <f>MASTER!AZ491</f>
        <v>DI</v>
      </c>
      <c r="H14" s="57">
        <f>MASTER!BA491</f>
        <v>0</v>
      </c>
      <c r="I14" s="57">
        <f>MASTER!BB491</f>
        <v>1</v>
      </c>
      <c r="J14" s="57">
        <f>MASTER!BC491</f>
        <v>1</v>
      </c>
      <c r="K14" s="57">
        <f>MASTER!BD491</f>
        <v>0</v>
      </c>
      <c r="L14" s="57">
        <f>MASTER!BE491</f>
        <v>14</v>
      </c>
      <c r="M14" s="57">
        <f>MASTER!BF491</f>
        <v>14</v>
      </c>
      <c r="N14" s="57">
        <f>MASTER!BG491</f>
        <v>0</v>
      </c>
      <c r="O14" s="57" t="str">
        <f>MASTER!BH491</f>
        <v/>
      </c>
      <c r="P14" s="57">
        <f>MASTER!BI491</f>
        <v>0</v>
      </c>
      <c r="Q14" s="57">
        <f>MASTER!BJ491</f>
        <v>0</v>
      </c>
      <c r="R14" s="57" t="str">
        <f>MASTER!BK491</f>
        <v/>
      </c>
      <c r="S14" s="57">
        <f>MASTER!BL491</f>
        <v>0</v>
      </c>
      <c r="T14" s="57">
        <f>MASTER!BM491</f>
        <v>4.4000000000000004</v>
      </c>
      <c r="U14" s="57">
        <f>MASTER!BN491</f>
        <v>61</v>
      </c>
      <c r="V14" s="57">
        <f>MASTER!BO491</f>
        <v>3</v>
      </c>
      <c r="W14" s="57" t="str">
        <f>MASTER!BP491</f>
        <v>DA</v>
      </c>
      <c r="X14" s="57">
        <f>MASTER!BQ491</f>
        <v>5.4</v>
      </c>
      <c r="Y14" s="57">
        <f>MASTER!BR491</f>
        <v>0</v>
      </c>
      <c r="Z14" s="57">
        <f>MASTER!BS491</f>
        <v>1</v>
      </c>
      <c r="AA14" t="str">
        <f>MASTER!H$6</f>
        <v>Inginerie Mecanică</v>
      </c>
      <c r="AB14">
        <f>MASTER!C$17</f>
        <v>10</v>
      </c>
      <c r="AC14" t="str">
        <f>MASTER!H$7</f>
        <v>Inginerie Mecanică Avansată</v>
      </c>
      <c r="AD14">
        <f>MASTER!A$17</f>
        <v>20</v>
      </c>
      <c r="AE14">
        <f>MASTER!B$17</f>
        <v>70</v>
      </c>
      <c r="AF14">
        <f>MASTER!D$17</f>
        <v>0</v>
      </c>
      <c r="AG14" t="str">
        <f>MASTER!BT491</f>
        <v>2023</v>
      </c>
    </row>
    <row r="15" spans="1:33" x14ac:dyDescent="0.2">
      <c r="A15" s="57" t="str">
        <f>MASTER!AT492</f>
        <v>M434.23.02.V3-ij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6.7</v>
      </c>
      <c r="U15" s="57">
        <f>MASTER!BN492</f>
        <v>94</v>
      </c>
      <c r="V15" s="57" t="str">
        <f>MASTER!BO492</f>
        <v/>
      </c>
      <c r="W15" s="57" t="str">
        <f>MASTER!BP492</f>
        <v>DCAV</v>
      </c>
      <c r="X15" s="57" t="str">
        <f>MASTER!BQ492</f>
        <v/>
      </c>
      <c r="Y15" s="57">
        <f>MASTER!BR492</f>
        <v>0</v>
      </c>
      <c r="Z15" s="57">
        <f>MASTER!BS492</f>
        <v>0</v>
      </c>
      <c r="AA15" t="str">
        <f>MASTER!H$6</f>
        <v>Inginerie Mecanică</v>
      </c>
      <c r="AB15">
        <f>MASTER!C$17</f>
        <v>10</v>
      </c>
      <c r="AC15" t="str">
        <f>MASTER!H$7</f>
        <v>Inginerie Mecanică Avansată</v>
      </c>
      <c r="AD15">
        <f>MASTER!A$17</f>
        <v>20</v>
      </c>
      <c r="AE15">
        <f>MASTER!B$17</f>
        <v>70</v>
      </c>
      <c r="AF15">
        <f>MASTER!D$17</f>
        <v>0</v>
      </c>
      <c r="AG15" t="str">
        <f>MASTER!BT492</f>
        <v/>
      </c>
    </row>
    <row r="16" spans="1:33" x14ac:dyDescent="0.2">
      <c r="A16" s="57" t="str">
        <f>MASTER!AT493</f>
        <v>M434.23.02.S4</v>
      </c>
      <c r="B16" s="57">
        <f>MASTER!AU493</f>
        <v>4</v>
      </c>
      <c r="C16" s="57" t="str">
        <f>MASTER!AV493</f>
        <v>Oboseala și integritate structurală</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6.7</v>
      </c>
      <c r="U16" s="57">
        <f>MASTER!BN493</f>
        <v>94</v>
      </c>
      <c r="V16" s="57">
        <f>MASTER!BO493</f>
        <v>6</v>
      </c>
      <c r="W16" s="57" t="str">
        <f>MASTER!BP493</f>
        <v>DS</v>
      </c>
      <c r="X16" s="57">
        <f>MASTER!BQ493</f>
        <v>10.7</v>
      </c>
      <c r="Y16" s="57">
        <f>MASTER!BR493</f>
        <v>0</v>
      </c>
      <c r="Z16" s="57">
        <f>MASTER!BS493</f>
        <v>1</v>
      </c>
      <c r="AA16" t="str">
        <f>MASTER!H$6</f>
        <v>Inginerie Mecanică</v>
      </c>
      <c r="AB16">
        <f>MASTER!C$17</f>
        <v>10</v>
      </c>
      <c r="AC16" t="str">
        <f>MASTER!H$7</f>
        <v>Inginerie Mecanică Avansată</v>
      </c>
      <c r="AD16">
        <f>MASTER!A$17</f>
        <v>20</v>
      </c>
      <c r="AE16">
        <f>MASTER!B$17</f>
        <v>70</v>
      </c>
      <c r="AF16">
        <f>MASTER!D$17</f>
        <v>0</v>
      </c>
      <c r="AG16" t="str">
        <f>MASTER!BT493</f>
        <v>2023</v>
      </c>
    </row>
    <row r="17" spans="1:33" x14ac:dyDescent="0.2">
      <c r="A17" s="57" t="str">
        <f>MASTER!AT494</f>
        <v>M434.23.02.S5</v>
      </c>
      <c r="B17" s="57">
        <f>MASTER!AU494</f>
        <v>5</v>
      </c>
      <c r="C17" s="57" t="str">
        <f>MASTER!AV494</f>
        <v xml:space="preserve">Etică și integritate academică </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DS</v>
      </c>
      <c r="X17" s="57" t="e">
        <f>MASTER!BQ494</f>
        <v>#VALUE!</v>
      </c>
      <c r="Y17" s="57">
        <f>MASTER!BR494</f>
        <v>0</v>
      </c>
      <c r="Z17" s="57">
        <f>MASTER!BS494</f>
        <v>1</v>
      </c>
      <c r="AA17" t="str">
        <f>MASTER!H$6</f>
        <v>Inginerie Mecanică</v>
      </c>
      <c r="AB17">
        <f>MASTER!C$17</f>
        <v>10</v>
      </c>
      <c r="AC17" t="str">
        <f>MASTER!H$7</f>
        <v>Inginerie Mecanică Avansată</v>
      </c>
      <c r="AD17">
        <f>MASTER!A$17</f>
        <v>20</v>
      </c>
      <c r="AE17">
        <f>MASTER!B$17</f>
        <v>70</v>
      </c>
      <c r="AF17">
        <f>MASTER!D$17</f>
        <v>0</v>
      </c>
      <c r="AG17" t="str">
        <f>MASTER!BT494</f>
        <v>2023</v>
      </c>
    </row>
    <row r="18" spans="1:33" x14ac:dyDescent="0.2">
      <c r="A18" s="57" t="str">
        <f>MASTER!AT495</f>
        <v>M434.23.02.S6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Mecanică</v>
      </c>
      <c r="AB18">
        <f>MASTER!C$17</f>
        <v>10</v>
      </c>
      <c r="AC18" t="str">
        <f>MASTER!H$7</f>
        <v>Inginerie Mecanică Avansată</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Inginerie Mecanică Avansată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Inginerie Mecanică Avansată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Inginerie Mecanică Avansată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Inginerie Mecanică Avansată</v>
      </c>
      <c r="AD22">
        <f>MASTER!A$17</f>
        <v>20</v>
      </c>
      <c r="AE22">
        <f>MASTER!B$17</f>
        <v>70</v>
      </c>
      <c r="AF22">
        <f>MASTER!D$17</f>
        <v>0</v>
      </c>
      <c r="AG22" t="str">
        <f>MASTER!BT499</f>
        <v/>
      </c>
    </row>
    <row r="23" spans="1:33" x14ac:dyDescent="0.2">
      <c r="A23" s="57" t="str">
        <f>MASTER!AT500</f>
        <v>M434.23.03.V1</v>
      </c>
      <c r="B23" s="57">
        <f>MASTER!AU500</f>
        <v>1</v>
      </c>
      <c r="C23" s="57" t="str">
        <f>MASTER!AV500</f>
        <v>Materiale compozite. Caracterizare și aplicații</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Inginerie Mecanică</v>
      </c>
      <c r="AB23">
        <f>MASTER!C$17</f>
        <v>10</v>
      </c>
      <c r="AC23" t="str">
        <f>MASTER!H$7</f>
        <v>Inginerie Mecanică Avansată</v>
      </c>
      <c r="AD23">
        <f>MASTER!A$17</f>
        <v>20</v>
      </c>
      <c r="AE23">
        <f>MASTER!B$17</f>
        <v>70</v>
      </c>
      <c r="AF23">
        <f>MASTER!D$17</f>
        <v>0</v>
      </c>
      <c r="AG23" t="str">
        <f>MASTER!BT500</f>
        <v>2024</v>
      </c>
    </row>
    <row r="24" spans="1:33" x14ac:dyDescent="0.2">
      <c r="A24" s="57" t="str">
        <f>MASTER!AT501</f>
        <v>M434.23.03.A2</v>
      </c>
      <c r="B24" s="57">
        <f>MASTER!AU501</f>
        <v>2</v>
      </c>
      <c r="C24" s="57" t="str">
        <f>MASTER!AV501</f>
        <v>Tehnici de măsurare și prelucrarea datelor</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DA</v>
      </c>
      <c r="X24" s="57">
        <f>MASTER!BQ501</f>
        <v>10.7</v>
      </c>
      <c r="Y24" s="57">
        <f>MASTER!BR501</f>
        <v>150</v>
      </c>
      <c r="Z24" s="57">
        <f>MASTER!BS501</f>
        <v>1</v>
      </c>
      <c r="AA24" t="str">
        <f>MASTER!H$6</f>
        <v>Inginerie Mecanică</v>
      </c>
      <c r="AB24">
        <f>MASTER!C$17</f>
        <v>10</v>
      </c>
      <c r="AC24" t="str">
        <f>MASTER!H$7</f>
        <v>Inginerie Mecanică Avansată</v>
      </c>
      <c r="AD24">
        <f>MASTER!A$17</f>
        <v>20</v>
      </c>
      <c r="AE24">
        <f>MASTER!B$17</f>
        <v>70</v>
      </c>
      <c r="AF24">
        <f>MASTER!D$17</f>
        <v>0</v>
      </c>
      <c r="AG24" t="str">
        <f>MASTER!BT501</f>
        <v>2024</v>
      </c>
    </row>
    <row r="25" spans="1:33" x14ac:dyDescent="0.2">
      <c r="A25" s="57" t="str">
        <f>MASTER!AT502</f>
        <v>M434.23.03.S3-ij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DS</v>
      </c>
      <c r="X25" s="57" t="str">
        <f>MASTER!BQ502</f>
        <v/>
      </c>
      <c r="Y25" s="57">
        <f>MASTER!BR502</f>
        <v>150</v>
      </c>
      <c r="Z25" s="57">
        <f>MASTER!BS502</f>
        <v>0</v>
      </c>
      <c r="AA25" t="str">
        <f>MASTER!H$6</f>
        <v>Inginerie Mecanică</v>
      </c>
      <c r="AB25">
        <f>MASTER!C$17</f>
        <v>10</v>
      </c>
      <c r="AC25" t="str">
        <f>MASTER!H$7</f>
        <v>Inginerie Mecanică Avansată</v>
      </c>
      <c r="AD25">
        <f>MASTER!A$17</f>
        <v>20</v>
      </c>
      <c r="AE25">
        <f>MASTER!B$17</f>
        <v>70</v>
      </c>
      <c r="AF25">
        <f>MASTER!D$17</f>
        <v>0</v>
      </c>
      <c r="AG25" t="str">
        <f>MASTER!BT502</f>
        <v/>
      </c>
    </row>
    <row r="26" spans="1:33" x14ac:dyDescent="0.2">
      <c r="A26" s="57" t="str">
        <f>MASTER!AT503</f>
        <v>M434.23.03.A4</v>
      </c>
      <c r="B26" s="57">
        <f>MASTER!AU503</f>
        <v>4</v>
      </c>
      <c r="C26" s="57" t="str">
        <f>MASTER!AV503</f>
        <v>Teorie și aplicații de fabricare aditivă</v>
      </c>
      <c r="D26" s="57">
        <f>MASTER!AW503</f>
        <v>2</v>
      </c>
      <c r="E26" s="57" t="str">
        <f>MASTER!AX503</f>
        <v>1</v>
      </c>
      <c r="F26" s="57" t="str">
        <f>MASTER!AY503</f>
        <v>E</v>
      </c>
      <c r="G26" s="57" t="str">
        <f>MASTER!AZ503</f>
        <v>DI</v>
      </c>
      <c r="H26" s="57">
        <f>MASTER!BA503</f>
        <v>2</v>
      </c>
      <c r="I26" s="57">
        <f>MASTER!BB503</f>
        <v>1</v>
      </c>
      <c r="J26" s="57">
        <f>MASTER!BC503</f>
        <v>3</v>
      </c>
      <c r="K26" s="57">
        <f>MASTER!BD503</f>
        <v>28</v>
      </c>
      <c r="L26" s="57">
        <f>MASTER!BE503</f>
        <v>14</v>
      </c>
      <c r="M26" s="57">
        <f>MASTER!BF503</f>
        <v>42</v>
      </c>
      <c r="N26" s="57">
        <f>MASTER!BG503</f>
        <v>0</v>
      </c>
      <c r="O26" s="57" t="str">
        <f>MASTER!BH503</f>
        <v/>
      </c>
      <c r="P26" s="57">
        <f>MASTER!BI503</f>
        <v>0</v>
      </c>
      <c r="Q26" s="57">
        <f>MASTER!BJ503</f>
        <v>0</v>
      </c>
      <c r="R26" s="57" t="str">
        <f>MASTER!BK503</f>
        <v/>
      </c>
      <c r="S26" s="57">
        <f>MASTER!BL503</f>
        <v>0</v>
      </c>
      <c r="T26" s="57">
        <f>MASTER!BM503</f>
        <v>5.9</v>
      </c>
      <c r="U26" s="57">
        <f>MASTER!BN503</f>
        <v>83</v>
      </c>
      <c r="V26" s="57">
        <f>MASTER!BO503</f>
        <v>5</v>
      </c>
      <c r="W26" s="57" t="str">
        <f>MASTER!BP503</f>
        <v>DA</v>
      </c>
      <c r="X26" s="57">
        <f>MASTER!BQ503</f>
        <v>8.9</v>
      </c>
      <c r="Y26" s="57">
        <f>MASTER!BR503</f>
        <v>125</v>
      </c>
      <c r="Z26" s="57">
        <f>MASTER!BS503</f>
        <v>1</v>
      </c>
      <c r="AA26" t="str">
        <f>MASTER!H$6</f>
        <v>Inginerie Mecanică</v>
      </c>
      <c r="AB26">
        <f>MASTER!C$17</f>
        <v>10</v>
      </c>
      <c r="AC26" t="str">
        <f>MASTER!H$7</f>
        <v>Inginerie Mecanică Avansată</v>
      </c>
      <c r="AD26">
        <f>MASTER!A$17</f>
        <v>20</v>
      </c>
      <c r="AE26">
        <f>MASTER!B$17</f>
        <v>70</v>
      </c>
      <c r="AF26">
        <f>MASTER!D$17</f>
        <v>0</v>
      </c>
      <c r="AG26" t="str">
        <f>MASTER!BT503</f>
        <v>2024</v>
      </c>
    </row>
    <row r="27" spans="1:33" x14ac:dyDescent="0.2">
      <c r="A27" s="57" t="str">
        <f>MASTER!AT504</f>
        <v>M434.23.03.S5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Mecanică</v>
      </c>
      <c r="AB27">
        <f>MASTER!C$17</f>
        <v>10</v>
      </c>
      <c r="AC27" t="str">
        <f>MASTER!H$7</f>
        <v>Inginerie Mecanică Avansată</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Inginerie Mecanică Avansată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Inginerie Mecanică Avansată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Inginerie Mecanică Avansată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Inginerie Mecanică Avansată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Inginerie Mecanică Avansată</v>
      </c>
      <c r="AD32">
        <f>MASTER!A$17</f>
        <v>20</v>
      </c>
      <c r="AE32">
        <f>MASTER!B$17</f>
        <v>70</v>
      </c>
      <c r="AF32">
        <f>MASTER!D$17</f>
        <v>0</v>
      </c>
      <c r="AG32" t="str">
        <f>MASTER!BT509</f>
        <v/>
      </c>
    </row>
    <row r="33" spans="1:33" x14ac:dyDescent="0.2">
      <c r="A33" s="57" t="str">
        <f>MASTER!AT510</f>
        <v>M434.23.04.S1</v>
      </c>
      <c r="B33" s="57">
        <f>MASTER!AU510</f>
        <v>1</v>
      </c>
      <c r="C33" s="57" t="str">
        <f>MASTER!AV510</f>
        <v>PRACTICĂ PROFESIONALĂ 4</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8.9</v>
      </c>
      <c r="Q33" s="57">
        <f>MASTER!BJ510</f>
        <v>0</v>
      </c>
      <c r="R33" s="57" t="str">
        <f>MASTER!BK510</f>
        <v/>
      </c>
      <c r="S33" s="57">
        <f>MASTER!BL510</f>
        <v>124</v>
      </c>
      <c r="T33" s="57">
        <f>MASTER!BM510</f>
        <v>9</v>
      </c>
      <c r="U33" s="57">
        <f>MASTER!BN510</f>
        <v>126</v>
      </c>
      <c r="V33" s="57">
        <f>MASTER!BO510</f>
        <v>10</v>
      </c>
      <c r="W33" s="57" t="str">
        <f>MASTER!BP510</f>
        <v>DS</v>
      </c>
      <c r="X33" s="57">
        <f>MASTER!BQ510</f>
        <v>17.899999999999999</v>
      </c>
      <c r="Y33" s="57">
        <f>MASTER!BR510</f>
        <v>0</v>
      </c>
      <c r="Z33" s="57">
        <f>MASTER!BS510</f>
        <v>0</v>
      </c>
      <c r="AA33" t="str">
        <f>MASTER!H$6</f>
        <v>Inginerie Mecanică</v>
      </c>
      <c r="AB33">
        <f>MASTER!C$17</f>
        <v>10</v>
      </c>
      <c r="AC33" t="str">
        <f>MASTER!H$7</f>
        <v>Inginerie Mecanică Avansată</v>
      </c>
      <c r="AD33">
        <f>MASTER!A$17</f>
        <v>20</v>
      </c>
      <c r="AE33">
        <f>MASTER!B$17</f>
        <v>70</v>
      </c>
      <c r="AF33">
        <f>MASTER!D$17</f>
        <v>0</v>
      </c>
      <c r="AG33" t="str">
        <f>MASTER!BT510</f>
        <v>2024</v>
      </c>
    </row>
    <row r="34" spans="1:33" x14ac:dyDescent="0.2">
      <c r="A34" s="57" t="str">
        <f>MASTER!AT511</f>
        <v>M434.23.04.S2</v>
      </c>
      <c r="B34" s="57">
        <f>MASTER!AU511</f>
        <v>2</v>
      </c>
      <c r="C34" s="57" t="str">
        <f>MASTER!AV511</f>
        <v>Practică pentru elaborarea lucrării de disertaţie</v>
      </c>
      <c r="D34" s="57">
        <f>MASTER!AW511</f>
        <v>2</v>
      </c>
      <c r="E34" s="57" t="str">
        <f>MASTER!AX511</f>
        <v>4</v>
      </c>
      <c r="F34" s="57" t="str">
        <f>MASTER!AY511</f>
        <v>C</v>
      </c>
      <c r="G34" s="57" t="str">
        <f>MASTER!AZ511</f>
        <v>DI</v>
      </c>
      <c r="H34" s="57" t="str">
        <f>MASTER!BA511</f>
        <v/>
      </c>
      <c r="I34" s="57" t="str">
        <f>MASTER!BB511</f>
        <v/>
      </c>
      <c r="J34" s="57" t="str">
        <f>MASTER!BC511</f>
        <v/>
      </c>
      <c r="K34" s="57" t="str">
        <f>MASTER!BD511</f>
        <v/>
      </c>
      <c r="L34" s="57" t="str">
        <f>MASTER!BE511</f>
        <v/>
      </c>
      <c r="M34" s="57" t="str">
        <f>MASTER!BF511</f>
        <v/>
      </c>
      <c r="N34" s="57">
        <f>MASTER!BG511</f>
        <v>0</v>
      </c>
      <c r="O34" s="57" t="str">
        <f>MASTER!BH511</f>
        <v/>
      </c>
      <c r="P34" s="57">
        <f>MASTER!BI511</f>
        <v>8.6</v>
      </c>
      <c r="Q34" s="57">
        <f>MASTER!BJ511</f>
        <v>0</v>
      </c>
      <c r="R34" s="57" t="str">
        <f>MASTER!BK511</f>
        <v/>
      </c>
      <c r="S34" s="57">
        <f>MASTER!BL511</f>
        <v>120</v>
      </c>
      <c r="T34" s="57">
        <f>MASTER!BM511</f>
        <v>9.3000000000000007</v>
      </c>
      <c r="U34" s="57">
        <f>MASTER!BN511</f>
        <v>130</v>
      </c>
      <c r="V34" s="57">
        <f>MASTER!BO511</f>
        <v>10</v>
      </c>
      <c r="W34" s="57" t="str">
        <f>MASTER!BP511</f>
        <v>DS</v>
      </c>
      <c r="X34" s="57">
        <f>MASTER!BQ511</f>
        <v>17.899999999999999</v>
      </c>
      <c r="Y34" s="57">
        <f>MASTER!BR511</f>
        <v>0</v>
      </c>
      <c r="Z34" s="57">
        <f>MASTER!BS511</f>
        <v>0</v>
      </c>
      <c r="AA34" t="str">
        <f>MASTER!H$6</f>
        <v>Inginerie Mecanică</v>
      </c>
      <c r="AB34">
        <f>MASTER!C$17</f>
        <v>10</v>
      </c>
      <c r="AC34" t="str">
        <f>MASTER!H$7</f>
        <v>Inginerie Mecanică Avansată</v>
      </c>
      <c r="AD34">
        <f>MASTER!A$17</f>
        <v>20</v>
      </c>
      <c r="AE34">
        <f>MASTER!B$17</f>
        <v>70</v>
      </c>
      <c r="AF34">
        <f>MASTER!D$17</f>
        <v>0</v>
      </c>
      <c r="AG34" t="str">
        <f>MASTER!BT511</f>
        <v>2024</v>
      </c>
    </row>
    <row r="35" spans="1:33" x14ac:dyDescent="0.2">
      <c r="A35" s="57" t="str">
        <f>MASTER!AT512</f>
        <v>M434.23.04.S3</v>
      </c>
      <c r="B35" s="57">
        <f>MASTER!AU512</f>
        <v>3</v>
      </c>
      <c r="C35" s="57" t="str">
        <f>MASTER!AV512</f>
        <v>Elaborarea lucrării de disertaţie</v>
      </c>
      <c r="D35" s="57">
        <f>MASTER!AW512</f>
        <v>2</v>
      </c>
      <c r="E35" s="57" t="str">
        <f>MASTER!AX512</f>
        <v>4</v>
      </c>
      <c r="F35" s="57" t="str">
        <f>MASTER!AY512</f>
        <v>C</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Inginerie Mecanică</v>
      </c>
      <c r="AB35">
        <f>MASTER!C$17</f>
        <v>10</v>
      </c>
      <c r="AC35" t="str">
        <f>MASTER!H$7</f>
        <v>Inginerie Mecanică Avansată</v>
      </c>
      <c r="AD35">
        <f>MASTER!A$17</f>
        <v>20</v>
      </c>
      <c r="AE35">
        <f>MASTER!B$17</f>
        <v>70</v>
      </c>
      <c r="AF35">
        <f>MASTER!D$17</f>
        <v>0</v>
      </c>
      <c r="AG35" t="str">
        <f>MASTER!BT512</f>
        <v>2024</v>
      </c>
    </row>
    <row r="36" spans="1:33" x14ac:dyDescent="0.2">
      <c r="A36" s="57" t="str">
        <f>MASTER!AT513</f>
        <v>M434.23.04.S4</v>
      </c>
      <c r="B36" s="57">
        <f>MASTER!AU513</f>
        <v>4</v>
      </c>
      <c r="C36" s="57" t="str">
        <f>MASTER!AV513</f>
        <v>Examen de disertație</v>
      </c>
      <c r="D36" s="57">
        <f>MASTER!AW513</f>
        <v>2</v>
      </c>
      <c r="E36" s="57" t="str">
        <f>MASTER!AX513</f>
        <v>4</v>
      </c>
      <c r="F36" s="57" t="str">
        <f>MASTER!AY513</f>
        <v>E</v>
      </c>
      <c r="G36" s="57" t="str">
        <f>MASTER!AZ513</f>
        <v>DI</v>
      </c>
      <c r="H36" s="57">
        <f>MASTER!BA513</f>
        <v>0</v>
      </c>
      <c r="I36" s="57">
        <f>MASTER!BB513</f>
        <v>0</v>
      </c>
      <c r="J36" s="57">
        <f>MASTER!BC513</f>
        <v>0</v>
      </c>
      <c r="K36" s="57">
        <f>MASTER!BD513</f>
        <v>0</v>
      </c>
      <c r="L36" s="57">
        <f>MASTER!BE513</f>
        <v>0</v>
      </c>
      <c r="M36" s="57">
        <f>MASTER!BF513</f>
        <v>0</v>
      </c>
      <c r="N36" s="57">
        <f>MASTER!BG513</f>
        <v>0</v>
      </c>
      <c r="O36" s="57" t="str">
        <f>MASTER!BH513</f>
        <v/>
      </c>
      <c r="P36" s="57">
        <f>MASTER!BI513</f>
        <v>0</v>
      </c>
      <c r="Q36" s="57">
        <f>MASTER!BJ513</f>
        <v>0</v>
      </c>
      <c r="R36" s="57" t="str">
        <f>MASTER!BK513</f>
        <v/>
      </c>
      <c r="S36" s="57">
        <f>MASTER!BL513</f>
        <v>0</v>
      </c>
      <c r="T36" s="57">
        <f>MASTER!BM513</f>
        <v>0</v>
      </c>
      <c r="U36" s="57">
        <f>MASTER!BN513</f>
        <v>0</v>
      </c>
      <c r="V36" s="57">
        <f>MASTER!BO513</f>
        <v>10</v>
      </c>
      <c r="W36" s="57" t="str">
        <f>MASTER!BP513</f>
        <v>DS</v>
      </c>
      <c r="X36" s="57">
        <f>MASTER!BQ513</f>
        <v>0</v>
      </c>
      <c r="Y36" s="57">
        <f>MASTER!BR513</f>
        <v>0</v>
      </c>
      <c r="Z36" s="57">
        <f>MASTER!BS513</f>
        <v>0</v>
      </c>
      <c r="AA36" t="str">
        <f>MASTER!H$6</f>
        <v>Inginerie Mecanică</v>
      </c>
      <c r="AB36">
        <f>MASTER!C$17</f>
        <v>10</v>
      </c>
      <c r="AC36" t="str">
        <f>MASTER!H$7</f>
        <v>Inginerie Mecanică Avansată</v>
      </c>
      <c r="AD36">
        <f>MASTER!A$17</f>
        <v>20</v>
      </c>
      <c r="AE36">
        <f>MASTER!B$17</f>
        <v>70</v>
      </c>
      <c r="AF36">
        <f>MASTER!D$17</f>
        <v>0</v>
      </c>
      <c r="AG36" t="str">
        <f>MASTER!BT513</f>
        <v>2024</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Inginerie Mecanică Avansată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Inginerie Mecanică Avansată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Inginerie Mecanică Avansată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Inginerie Mecanică Avansată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Inginerie Mecanică Avansată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Inginerie Mecanică Avansată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Inginerie Mecanică Avansată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Inginerie Mecanică Avansată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Inginerie Mecanică Avansată</v>
      </c>
      <c r="AD45">
        <f>MASTER!A$17</f>
        <v>20</v>
      </c>
      <c r="AE45">
        <f>MASTER!B$17</f>
        <v>70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Inginerie Mecanică</v>
      </c>
      <c r="AB46">
        <f>MASTER!C$17</f>
        <v>10</v>
      </c>
      <c r="AC46" t="str">
        <f>MASTER!H$7</f>
        <v>Inginerie Mecanică Avansată</v>
      </c>
      <c r="AD46">
        <f>MASTER!A$17</f>
        <v>20</v>
      </c>
      <c r="AE46">
        <f>MASTER!B$17</f>
        <v>70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Inginerie Mecanică</v>
      </c>
      <c r="AB47">
        <f>MASTER!C$17</f>
        <v>10</v>
      </c>
      <c r="AC47" t="str">
        <f>MASTER!H$7</f>
        <v>Inginerie Mecanică Avansată</v>
      </c>
      <c r="AD47">
        <f>MASTER!A$17</f>
        <v>20</v>
      </c>
      <c r="AE47">
        <f>MASTER!B$17</f>
        <v>70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Inginerie Mecanică Avansată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Inginerie Mecanică Avansată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Inginerie Mecanică Avansată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Inginerie Mecanică Avansată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Inginerie Mecanică Avansată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Inginerie Mecanică Avansată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Inginerie Mecanică Avansată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Inginerie Mecanică Avansată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Inginerie Mecanică Avansată</v>
      </c>
      <c r="AD56">
        <f>MASTER!A$17</f>
        <v>20</v>
      </c>
      <c r="AE56">
        <f>MASTER!B$17</f>
        <v>70</v>
      </c>
      <c r="AF56">
        <f>MASTER!D$17</f>
        <v>0</v>
      </c>
      <c r="AG56" t="str">
        <f>MASTER!BT533</f>
        <v/>
      </c>
    </row>
    <row r="57" spans="1:33" x14ac:dyDescent="0.2">
      <c r="A57" s="57" t="str">
        <f>MASTER!AT534</f>
        <v>M434.23.02.V3-01</v>
      </c>
      <c r="B57" s="57">
        <f>MASTER!AU534</f>
        <v>1</v>
      </c>
      <c r="C57" s="57" t="str">
        <f>MASTER!AV534</f>
        <v>Opțional 1. Metode statistice in analiza si prelucrarea datelor</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Inginerie Mecanică Avansată</v>
      </c>
      <c r="AD57">
        <f>MASTER!A$17</f>
        <v>20</v>
      </c>
      <c r="AE57">
        <f>MASTER!B$17</f>
        <v>70</v>
      </c>
      <c r="AF57">
        <f>MASTER!D$17</f>
        <v>0</v>
      </c>
      <c r="AG57" t="str">
        <f>MASTER!BT534</f>
        <v>2023</v>
      </c>
    </row>
    <row r="58" spans="1:33" x14ac:dyDescent="0.2">
      <c r="A58" s="57" t="str">
        <f>MASTER!AT535</f>
        <v>M434.23.02.V3-02</v>
      </c>
      <c r="B58" s="57">
        <f>MASTER!AU535</f>
        <v>2</v>
      </c>
      <c r="C58" s="57" t="str">
        <f>MASTER!AV535</f>
        <v>Opțional 1.Calcul tensorial</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Inginerie Mecanică Avansată</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Inginerie Mecanică Avansată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Inginerie Mecanică Avansată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Inginerie Mecanică Avansată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Inginerie Mecanică Avansată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Inginerie Mecanică Avansată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Inginerie Mecanică Avansată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Inginerie Mecanică Avansată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Inginerie Mecanică Avansată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Inginerie Mecanică Avansată</v>
      </c>
      <c r="AD67">
        <f>MASTER!A$17</f>
        <v>20</v>
      </c>
      <c r="AE67">
        <f>MASTER!B$17</f>
        <v>70</v>
      </c>
      <c r="AF67">
        <f>MASTER!D$17</f>
        <v>0</v>
      </c>
      <c r="AG67" t="str">
        <f>MASTER!BT544</f>
        <v/>
      </c>
    </row>
    <row r="68" spans="1:33" x14ac:dyDescent="0.2">
      <c r="A68" s="57" t="str">
        <f>MASTER!AT545</f>
        <v>M434.23.03.S3-01</v>
      </c>
      <c r="B68" s="57">
        <f>MASTER!AU545</f>
        <v>1</v>
      </c>
      <c r="C68" s="57" t="str">
        <f>MASTER!AV545</f>
        <v>Opțional 2. Managementul asigurarii calitatii in inginerie</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Mecanică</v>
      </c>
      <c r="AB68">
        <f>MASTER!C$17</f>
        <v>10</v>
      </c>
      <c r="AC68" t="str">
        <f>MASTER!H$7</f>
        <v>Inginerie Mecanică Avansată</v>
      </c>
      <c r="AD68">
        <f>MASTER!A$17</f>
        <v>20</v>
      </c>
      <c r="AE68">
        <f>MASTER!B$17</f>
        <v>70</v>
      </c>
      <c r="AF68">
        <f>MASTER!D$17</f>
        <v>0</v>
      </c>
      <c r="AG68" t="str">
        <f>MASTER!BT545</f>
        <v>2024</v>
      </c>
    </row>
    <row r="69" spans="1:33" x14ac:dyDescent="0.2">
      <c r="A69" s="57" t="str">
        <f>MASTER!AT546</f>
        <v>M434.23.03.S3-02</v>
      </c>
      <c r="B69" s="57">
        <f>MASTER!AU546</f>
        <v>2</v>
      </c>
      <c r="C69" s="57" t="str">
        <f>MASTER!AV546</f>
        <v>Opțional 2. Controlul digital al sistemelor mecanice</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Mecanică</v>
      </c>
      <c r="AB69">
        <f>MASTER!C$17</f>
        <v>10</v>
      </c>
      <c r="AC69" t="str">
        <f>MASTER!H$7</f>
        <v>Inginerie Mecanică Avansată</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Inginerie Mecanică Avansată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Inginerie Mecanică Avansată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Inginerie Mecanică Avansată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Inginerie Mecanică Avansată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Inginerie Mecanică Avansată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Inginerie Mecanică Avansată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Inginerie Mecanică Avansată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Inginerie Mecanică Avansată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Inginerie Mecanică Avansată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Inginerie Mecanică Avansată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Inginerie Mecanică Avansată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Inginerie Mecanică Avansată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Inginerie Mecanică Avansată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Inginerie Mecanică Avansată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Inginerie Mecanică Avansată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Inginerie Mecanică Avansată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Inginerie Mecanică Avansată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Inginerie Mecanică Avansată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Inginerie Mecanică Avansată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2023-07-13T06:41:43Z</dcterms:modified>
</cp:coreProperties>
</file>